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Новий фінплан\2023\2023\"/>
    </mc:Choice>
  </mc:AlternateContent>
  <bookViews>
    <workbookView xWindow="-120" yWindow="-120" windowWidth="29040" windowHeight="15840" tabRatio="915" activeTab="1"/>
  </bookViews>
  <sheets>
    <sheet name="Аналіз" sheetId="25" r:id="rId1"/>
    <sheet name="Осн. фін. пок." sheetId="14" r:id="rId2"/>
    <sheet name="I. Фін результат" sheetId="2" r:id="rId3"/>
    <sheet name="Розшифровка фінрезультати" sheetId="21" r:id="rId4"/>
    <sheet name="ІІ. Розр. з бюджетом" sheetId="19" r:id="rId5"/>
    <sheet name="ІІІ. Рух грош. коштів" sheetId="18" r:id="rId6"/>
    <sheet name="Розшифровка до Руху" sheetId="22" r:id="rId7"/>
    <sheet name="IV. Кап. інвестиції" sheetId="3" r:id="rId8"/>
    <sheet name="Розшифровка до капівидатків" sheetId="23" r:id="rId9"/>
    <sheet name=" V. Коефіцієнти" sheetId="11" r:id="rId10"/>
    <sheet name="6.1. Інша інфо_1" sheetId="10" r:id="rId11"/>
    <sheet name="6.2. Інша інфо_2" sheetId="9" r:id="rId12"/>
    <sheet name="VII Статутн. капіт" sheetId="20" r:id="rId13"/>
    <sheet name="Розшифровка до Статутного" sheetId="24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</externalReferences>
  <definedNames>
    <definedName name="__123Graph_XGRAPH3" hidden="1">[1]GDP!#REF!</definedName>
    <definedName name="aa">'[2]1993'!$A$1:$IV$3,'[2]1993'!$A$1:$A$65536</definedName>
    <definedName name="ad">'[3]МТР Газ України'!$B$1</definedName>
    <definedName name="as">'[4]МТР Газ України'!$B$1</definedName>
    <definedName name="asdf">[5]Inform!$E$6</definedName>
    <definedName name="asdfg">[5]Inform!$F$2</definedName>
    <definedName name="BuiltIn_Print_Area___1___1">#REF!</definedName>
    <definedName name="ClDate">[6]Inform!$E$6</definedName>
    <definedName name="ClDate_21">[7]Inform!$E$6</definedName>
    <definedName name="ClDate_25">[7]Inform!$E$6</definedName>
    <definedName name="ClDate_6">[8]Inform!$E$6</definedName>
    <definedName name="CompName">[6]Inform!$F$2</definedName>
    <definedName name="CompName_21">[7]Inform!$F$2</definedName>
    <definedName name="CompName_25">[7]Inform!$F$2</definedName>
    <definedName name="CompName_6">[8]Inform!$F$2</definedName>
    <definedName name="CompNameE">[6]Inform!$G$2</definedName>
    <definedName name="CompNameE_21">[7]Inform!$G$2</definedName>
    <definedName name="CompNameE_25">[7]Inform!$G$2</definedName>
    <definedName name="CompNameE_6">[8]Inform!$G$2</definedName>
    <definedName name="Cost_Category_National_ID">#REF!</definedName>
    <definedName name="Cе511">#REF!</definedName>
    <definedName name="d">'[9]МТР Газ України'!$B$4</definedName>
    <definedName name="dCPIb">[10]попер_роз!#REF!</definedName>
    <definedName name="dPPIb">[10]попер_роз!#REF!</definedName>
    <definedName name="ds">'[11]7  Інші витрати'!#REF!</definedName>
    <definedName name="Fact_Type_ID">#REF!</definedName>
    <definedName name="G">'[12]МТР Газ України'!$B$1</definedName>
    <definedName name="ij1sssss">'[13]7  Інші витрати'!#REF!</definedName>
    <definedName name="LastItem">[14]Лист1!$A$1</definedName>
    <definedName name="Load">'[15]МТР Газ України'!$B$4</definedName>
    <definedName name="Load_ID">'[16]МТР Газ України'!$B$4</definedName>
    <definedName name="Load_ID_10">'[17]7  Інші витрати'!#REF!</definedName>
    <definedName name="Load_ID_11">'[18]МТР Газ України'!$B$4</definedName>
    <definedName name="Load_ID_12">'[18]МТР Газ України'!$B$4</definedName>
    <definedName name="Load_ID_13">'[18]МТР Газ України'!$B$4</definedName>
    <definedName name="Load_ID_14">'[18]МТР Газ України'!$B$4</definedName>
    <definedName name="Load_ID_15">'[18]МТР Газ України'!$B$4</definedName>
    <definedName name="Load_ID_16">'[18]МТР Газ України'!$B$4</definedName>
    <definedName name="Load_ID_17">'[18]МТР Газ України'!$B$4</definedName>
    <definedName name="Load_ID_18">'[19]МТР Газ України'!$B$4</definedName>
    <definedName name="Load_ID_19">'[20]МТР Газ України'!$B$4</definedName>
    <definedName name="Load_ID_20">'[19]МТР Газ України'!$B$4</definedName>
    <definedName name="Load_ID_200">'[15]МТР Газ України'!$B$4</definedName>
    <definedName name="Load_ID_21">'[21]МТР Газ України'!$B$4</definedName>
    <definedName name="Load_ID_23">'[20]МТР Газ України'!$B$4</definedName>
    <definedName name="Load_ID_25">'[21]МТР Газ України'!$B$4</definedName>
    <definedName name="Load_ID_542">'[22]МТР Газ України'!$B$4</definedName>
    <definedName name="Load_ID_6">'[18]МТР Газ України'!$B$4</definedName>
    <definedName name="OpDate">[6]Inform!$E$5</definedName>
    <definedName name="OpDate_21">[7]Inform!$E$5</definedName>
    <definedName name="OpDate_25">[7]Inform!$E$5</definedName>
    <definedName name="OpDate_6">[8]Inform!$E$5</definedName>
    <definedName name="QR">[23]Inform!$E$5</definedName>
    <definedName name="qw">[5]Inform!$E$5</definedName>
    <definedName name="qwert">[5]Inform!$G$2</definedName>
    <definedName name="qwerty">'[4]МТР Газ України'!$B$4</definedName>
    <definedName name="ShowFil">[14]!ShowFil</definedName>
    <definedName name="SU_ID">#REF!</definedName>
    <definedName name="Time_ID">'[16]МТР Газ України'!$B$1</definedName>
    <definedName name="Time_ID_10">'[17]7  Інші витрати'!#REF!</definedName>
    <definedName name="Time_ID_11">'[18]МТР Газ України'!$B$1</definedName>
    <definedName name="Time_ID_12">'[18]МТР Газ України'!$B$1</definedName>
    <definedName name="Time_ID_13">'[18]МТР Газ України'!$B$1</definedName>
    <definedName name="Time_ID_14">'[18]МТР Газ України'!$B$1</definedName>
    <definedName name="Time_ID_15">'[18]МТР Газ України'!$B$1</definedName>
    <definedName name="Time_ID_16">'[18]МТР Газ України'!$B$1</definedName>
    <definedName name="Time_ID_17">'[18]МТР Газ України'!$B$1</definedName>
    <definedName name="Time_ID_18">'[19]МТР Газ України'!$B$1</definedName>
    <definedName name="Time_ID_19">'[20]МТР Газ України'!$B$1</definedName>
    <definedName name="Time_ID_20">'[19]МТР Газ України'!$B$1</definedName>
    <definedName name="Time_ID_21">'[21]МТР Газ України'!$B$1</definedName>
    <definedName name="Time_ID_23">'[20]МТР Газ України'!$B$1</definedName>
    <definedName name="Time_ID_25">'[21]МТР Газ України'!$B$1</definedName>
    <definedName name="Time_ID_6">'[18]МТР Газ України'!$B$1</definedName>
    <definedName name="Time_ID0">'[16]МТР Газ України'!$F$1</definedName>
    <definedName name="Time_ID0_10">'[17]7  Інші витрати'!#REF!</definedName>
    <definedName name="Time_ID0_11">'[18]МТР Газ України'!$F$1</definedName>
    <definedName name="Time_ID0_12">'[18]МТР Газ України'!$F$1</definedName>
    <definedName name="Time_ID0_13">'[18]МТР Газ України'!$F$1</definedName>
    <definedName name="Time_ID0_14">'[18]МТР Газ України'!$F$1</definedName>
    <definedName name="Time_ID0_15">'[18]МТР Газ України'!$F$1</definedName>
    <definedName name="Time_ID0_16">'[18]МТР Газ України'!$F$1</definedName>
    <definedName name="Time_ID0_17">'[18]МТР Газ України'!$F$1</definedName>
    <definedName name="Time_ID0_18">'[19]МТР Газ України'!$F$1</definedName>
    <definedName name="Time_ID0_19">'[20]МТР Газ України'!$F$1</definedName>
    <definedName name="Time_ID0_20">'[19]МТР Газ України'!$F$1</definedName>
    <definedName name="Time_ID0_21">'[21]МТР Газ України'!$F$1</definedName>
    <definedName name="Time_ID0_23">'[20]МТР Газ України'!$F$1</definedName>
    <definedName name="Time_ID0_25">'[21]МТР Газ України'!$F$1</definedName>
    <definedName name="Time_ID0_6">'[18]МТР Газ України'!$F$1</definedName>
    <definedName name="ttttttt">#REF!</definedName>
    <definedName name="Unit">[6]Inform!$E$38</definedName>
    <definedName name="Unit_21">[7]Inform!$E$38</definedName>
    <definedName name="Unit_25">[7]Inform!$E$38</definedName>
    <definedName name="Unit_6">[8]Inform!$E$38</definedName>
    <definedName name="WQER">'[24]МТР Газ України'!$B$4</definedName>
    <definedName name="wr">'[24]МТР Газ України'!$B$4</definedName>
    <definedName name="yyyy">#REF!</definedName>
    <definedName name="zx">'[4]МТР Газ України'!$F$1</definedName>
    <definedName name="zxc">[5]Inform!$E$38</definedName>
    <definedName name="а">'[13]7  Інші витрати'!#REF!</definedName>
    <definedName name="ав">#REF!</definedName>
    <definedName name="аен">'[24]МТР Газ України'!$B$4</definedName>
    <definedName name="_xlnm.Database">'[25]Ener '!$A$1:$G$2645</definedName>
    <definedName name="в">'[26]МТР Газ України'!$F$1</definedName>
    <definedName name="ватт">'[27]БАЗА  '!#REF!</definedName>
    <definedName name="Д">'[15]МТР Газ України'!$B$4</definedName>
    <definedName name="е">#REF!</definedName>
    <definedName name="є">#REF!</definedName>
    <definedName name="_xlnm.Print_Titles" localSheetId="9">' V. Коефіцієнти'!$5:$5</definedName>
    <definedName name="_xlnm.Print_Titles" localSheetId="2">'I. Фін результат'!$4:$6</definedName>
    <definedName name="_xlnm.Print_Titles" localSheetId="4">'ІІ. Розр. з бюджетом'!$4:$6</definedName>
    <definedName name="_xlnm.Print_Titles" localSheetId="5">'ІІІ. Рух грош. коштів'!$4:$6</definedName>
    <definedName name="_xlnm.Print_Titles" localSheetId="1">'Осн. фін. пок.'!$21:$23</definedName>
    <definedName name="_xlnm.Print_Titles" localSheetId="8">'Розшифровка до капівидатків'!$4:$5</definedName>
    <definedName name="_xlnm.Print_Titles" localSheetId="6">'Розшифровка до Руху'!$4:$5</definedName>
    <definedName name="_xlnm.Print_Titles" localSheetId="3">'Розшифровка фінрезультати'!$4:$5</definedName>
    <definedName name="Заголовки_для_печати_МИ">'[28]1993'!$A$1:$IV$3,'[28]1993'!$A$1:$A$65536</definedName>
    <definedName name="йуц">#REF!</definedName>
    <definedName name="йцу">#REF!</definedName>
    <definedName name="йцуйй">#REF!</definedName>
    <definedName name="йцукц">'[29]7  Інші витрати'!#REF!</definedName>
    <definedName name="і">[30]Inform!$F$2</definedName>
    <definedName name="ів">#REF!</definedName>
    <definedName name="ів___0">#REF!</definedName>
    <definedName name="ів_22">#REF!</definedName>
    <definedName name="ів_26">#REF!</definedName>
    <definedName name="іваіа">'[29]7  Інші витрати'!#REF!</definedName>
    <definedName name="іваф">#REF!</definedName>
    <definedName name="івів">'[12]МТР Газ України'!$B$1</definedName>
    <definedName name="іцу">[23]Inform!$G$2</definedName>
    <definedName name="КЕ">#REF!</definedName>
    <definedName name="КЕ___0">#REF!</definedName>
    <definedName name="КЕ_22">#REF!</definedName>
    <definedName name="КЕ_26">#REF!</definedName>
    <definedName name="кен">#REF!</definedName>
    <definedName name="л">#REF!</definedName>
    <definedName name="_xlnm.Print_Area" localSheetId="9">' V. Коефіцієнти'!$A$1:$H$23</definedName>
    <definedName name="_xlnm.Print_Area" localSheetId="10">'6.1. Інша інфо_1'!$A$1:$O$65</definedName>
    <definedName name="_xlnm.Print_Area" localSheetId="11">'6.2. Інша інфо_2'!$A$1:$AF$89</definedName>
    <definedName name="_xlnm.Print_Area" localSheetId="2">'I. Фін результат'!$A$1:$I$99</definedName>
    <definedName name="_xlnm.Print_Area" localSheetId="7">'IV. Кап. інвестиції'!$A$1:$H$18</definedName>
    <definedName name="_xlnm.Print_Area" localSheetId="12">'VII Статутн. капіт'!$A$1:$H$17</definedName>
    <definedName name="_xlnm.Print_Area" localSheetId="4">'ІІ. Розр. з бюджетом'!$A$1:$H$49</definedName>
    <definedName name="_xlnm.Print_Area" localSheetId="5">'ІІІ. Рух грош. коштів'!$A$1:$H$72</definedName>
    <definedName name="_xlnm.Print_Area" localSheetId="1">'Осн. фін. пок.'!$A$1:$H$131</definedName>
    <definedName name="_xlnm.Print_Area" localSheetId="8">'Розшифровка до капівидатків'!$A$1:$G$57</definedName>
    <definedName name="_xlnm.Print_Area" localSheetId="6">'Розшифровка до Руху'!$A$1:$H$126</definedName>
    <definedName name="_xlnm.Print_Area" localSheetId="13">'Розшифровка до Статутного'!$A$1:$G$29</definedName>
    <definedName name="_xlnm.Print_Area" localSheetId="3">'Розшифровка фінрезультати'!$A$1:$H$94</definedName>
    <definedName name="п">'[13]7  Інші витрати'!#REF!</definedName>
    <definedName name="пдв">'[15]МТР Газ України'!$B$4</definedName>
    <definedName name="пдв_утг">'[15]МТР Газ України'!$F$1</definedName>
    <definedName name="План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>#REF!</definedName>
    <definedName name="ппп">[31]Inform!$E$6</definedName>
    <definedName name="р">#REF!</definedName>
    <definedName name="т">[32]Inform!$E$6</definedName>
    <definedName name="тариф">[33]Inform!$G$2</definedName>
    <definedName name="уйцукйцуйу">#REF!</definedName>
    <definedName name="уке">[34]Inform!$G$2</definedName>
    <definedName name="УТГ">'[15]МТР Газ України'!$B$4</definedName>
    <definedName name="фів">'[24]МТР Газ України'!$B$4</definedName>
    <definedName name="фіваіф">'[29]7  Інші витрати'!#REF!</definedName>
    <definedName name="фф">'[26]МТР Газ України'!$F$1</definedName>
    <definedName name="ц">'[13]7  Інші витрати'!#REF!</definedName>
    <definedName name="ччч">'[35]БАЗА  '!#REF!</definedName>
    <definedName name="ш">#REF!</definedName>
  </definedNames>
  <calcPr calcId="152511"/>
  <fileRecoveryPr autoRecover="0"/>
</workbook>
</file>

<file path=xl/calcChain.xml><?xml version="1.0" encoding="utf-8"?>
<calcChain xmlns="http://schemas.openxmlformats.org/spreadsheetml/2006/main">
  <c r="E106" i="14" l="1"/>
  <c r="E7" i="24" l="1"/>
  <c r="G124" i="22" l="1"/>
  <c r="G125" i="22"/>
  <c r="F118" i="22"/>
  <c r="E44" i="18" l="1"/>
  <c r="F51" i="21" l="1"/>
  <c r="E51" i="21"/>
  <c r="D51" i="21"/>
  <c r="H89" i="25" l="1"/>
  <c r="F76" i="25"/>
  <c r="H76" i="25"/>
  <c r="I76" i="25" s="1"/>
  <c r="F77" i="25"/>
  <c r="H77" i="25"/>
  <c r="D34" i="25" l="1"/>
  <c r="E34" i="25"/>
  <c r="D35" i="25"/>
  <c r="E35" i="25"/>
  <c r="D36" i="25"/>
  <c r="E36" i="25"/>
  <c r="D37" i="25"/>
  <c r="E37" i="25"/>
  <c r="D38" i="25"/>
  <c r="E38" i="25"/>
  <c r="D39" i="25"/>
  <c r="E39" i="25"/>
  <c r="D40" i="25"/>
  <c r="E40" i="25"/>
  <c r="D41" i="25"/>
  <c r="E41" i="25"/>
  <c r="D42" i="25"/>
  <c r="E42" i="25"/>
  <c r="D43" i="25"/>
  <c r="E43" i="25"/>
  <c r="D44" i="25"/>
  <c r="E44" i="25"/>
  <c r="D45" i="25"/>
  <c r="E45" i="25"/>
  <c r="C35" i="25"/>
  <c r="C36" i="25"/>
  <c r="C37" i="25"/>
  <c r="C38" i="25"/>
  <c r="C39" i="25"/>
  <c r="C40" i="25"/>
  <c r="C41" i="25"/>
  <c r="C42" i="25"/>
  <c r="C43" i="25"/>
  <c r="C44" i="25"/>
  <c r="C45" i="25"/>
  <c r="C19" i="25"/>
  <c r="D19" i="25"/>
  <c r="E19" i="25"/>
  <c r="C20" i="25"/>
  <c r="D20" i="25"/>
  <c r="E20" i="25"/>
  <c r="C21" i="25"/>
  <c r="D21" i="25"/>
  <c r="E21" i="25"/>
  <c r="C22" i="25"/>
  <c r="D22" i="25"/>
  <c r="E22" i="25"/>
  <c r="C23" i="25"/>
  <c r="D23" i="25"/>
  <c r="E23" i="25"/>
  <c r="C24" i="25"/>
  <c r="D24" i="25"/>
  <c r="E24" i="25"/>
  <c r="C25" i="25"/>
  <c r="D25" i="25"/>
  <c r="E25" i="25"/>
  <c r="C26" i="25"/>
  <c r="D26" i="25"/>
  <c r="E26" i="25"/>
  <c r="C27" i="25"/>
  <c r="D27" i="25"/>
  <c r="E27" i="25"/>
  <c r="C28" i="25"/>
  <c r="D28" i="25"/>
  <c r="E28" i="25"/>
  <c r="C29" i="25"/>
  <c r="D29" i="25"/>
  <c r="E29" i="25"/>
  <c r="C30" i="25"/>
  <c r="D30" i="25"/>
  <c r="E30" i="25"/>
  <c r="D18" i="25"/>
  <c r="E18" i="25"/>
  <c r="C18" i="25"/>
  <c r="S33" i="9"/>
  <c r="T33" i="9"/>
  <c r="T32" i="9"/>
  <c r="S32" i="9"/>
  <c r="S38" i="9"/>
  <c r="T38" i="9"/>
  <c r="S39" i="9"/>
  <c r="T39" i="9"/>
  <c r="S40" i="9"/>
  <c r="T40" i="9"/>
  <c r="S41" i="9"/>
  <c r="T41" i="9"/>
  <c r="S42" i="9"/>
  <c r="T42" i="9"/>
  <c r="S43" i="9"/>
  <c r="T43" i="9"/>
  <c r="S44" i="9"/>
  <c r="T44" i="9"/>
  <c r="S45" i="9"/>
  <c r="T45" i="9"/>
  <c r="S46" i="9"/>
  <c r="T46" i="9"/>
  <c r="S47" i="9"/>
  <c r="T47" i="9"/>
  <c r="S48" i="9"/>
  <c r="T48" i="9"/>
  <c r="S49" i="9"/>
  <c r="T49" i="9"/>
  <c r="S50" i="9"/>
  <c r="T50" i="9"/>
  <c r="S51" i="9"/>
  <c r="T51" i="9"/>
  <c r="S52" i="9"/>
  <c r="T52" i="9"/>
  <c r="S53" i="9"/>
  <c r="T53" i="9"/>
  <c r="S54" i="9"/>
  <c r="T54" i="9"/>
  <c r="S55" i="9"/>
  <c r="T55" i="9"/>
  <c r="S56" i="9"/>
  <c r="T56" i="9"/>
  <c r="S57" i="9"/>
  <c r="T57" i="9"/>
  <c r="S35" i="9"/>
  <c r="T35" i="9"/>
  <c r="S36" i="9"/>
  <c r="T36" i="9"/>
  <c r="W43" i="9"/>
  <c r="X43" i="9"/>
  <c r="W44" i="9"/>
  <c r="X44" i="9"/>
  <c r="W45" i="9"/>
  <c r="X45" i="9"/>
  <c r="W46" i="9"/>
  <c r="X46" i="9"/>
  <c r="W47" i="9"/>
  <c r="X47" i="9"/>
  <c r="W48" i="9"/>
  <c r="X48" i="9"/>
  <c r="W49" i="9"/>
  <c r="X49" i="9"/>
  <c r="W50" i="9"/>
  <c r="X50" i="9"/>
  <c r="W51" i="9"/>
  <c r="X51" i="9"/>
  <c r="W52" i="9"/>
  <c r="X52" i="9"/>
  <c r="W53" i="9"/>
  <c r="X53" i="9"/>
  <c r="W54" i="9"/>
  <c r="X54" i="9"/>
  <c r="W55" i="9"/>
  <c r="X55" i="9"/>
  <c r="W56" i="9"/>
  <c r="X56" i="9"/>
  <c r="X42" i="9"/>
  <c r="W42" i="9"/>
  <c r="X38" i="9"/>
  <c r="W38" i="9"/>
  <c r="X33" i="9"/>
  <c r="W33" i="9"/>
  <c r="X36" i="9"/>
  <c r="W36" i="9"/>
  <c r="P36" i="9"/>
  <c r="O36" i="9"/>
  <c r="AC33" i="9"/>
  <c r="AF33" i="9" s="1"/>
  <c r="AD33" i="9"/>
  <c r="AE33" i="9"/>
  <c r="AD32" i="9"/>
  <c r="AC32" i="9"/>
  <c r="AF32" i="9" s="1"/>
  <c r="AD37" i="9"/>
  <c r="AD38" i="9"/>
  <c r="AD39" i="9"/>
  <c r="AD40" i="9"/>
  <c r="AD41" i="9"/>
  <c r="AD42" i="9"/>
  <c r="AE42" i="9" s="1"/>
  <c r="AD43" i="9"/>
  <c r="AD44" i="9"/>
  <c r="AD45" i="9"/>
  <c r="AD46" i="9"/>
  <c r="AE46" i="9" s="1"/>
  <c r="AD47" i="9"/>
  <c r="AD48" i="9"/>
  <c r="AE48" i="9" s="1"/>
  <c r="AD49" i="9"/>
  <c r="AD50" i="9"/>
  <c r="AE50" i="9" s="1"/>
  <c r="AD51" i="9"/>
  <c r="AD52" i="9"/>
  <c r="AE52" i="9" s="1"/>
  <c r="AD53" i="9"/>
  <c r="AD54" i="9"/>
  <c r="AE54" i="9" s="1"/>
  <c r="AD55" i="9"/>
  <c r="AD56" i="9"/>
  <c r="AE56" i="9" s="1"/>
  <c r="AD57" i="9"/>
  <c r="AD36" i="9"/>
  <c r="AD35" i="9"/>
  <c r="AC61" i="9"/>
  <c r="AD61" i="9"/>
  <c r="AF61" i="9"/>
  <c r="AC62" i="9"/>
  <c r="AD62" i="9"/>
  <c r="AE62" i="9" s="1"/>
  <c r="AF62" i="9"/>
  <c r="AE38" i="9"/>
  <c r="AF38" i="9"/>
  <c r="AE41" i="9"/>
  <c r="AF41" i="9"/>
  <c r="AF42" i="9"/>
  <c r="AE45" i="9"/>
  <c r="AF45" i="9"/>
  <c r="AF46" i="9"/>
  <c r="AE47" i="9"/>
  <c r="AF47" i="9"/>
  <c r="AF48" i="9"/>
  <c r="AE49" i="9"/>
  <c r="AF49" i="9"/>
  <c r="AF50" i="9"/>
  <c r="AE51" i="9"/>
  <c r="AF51" i="9"/>
  <c r="AF52" i="9"/>
  <c r="AE53" i="9"/>
  <c r="AF53" i="9"/>
  <c r="AF54" i="9"/>
  <c r="AE55" i="9"/>
  <c r="AF55" i="9"/>
  <c r="AF56" i="9"/>
  <c r="AE57" i="9"/>
  <c r="AF57" i="9"/>
  <c r="R60" i="9"/>
  <c r="AD65" i="9"/>
  <c r="V34" i="9"/>
  <c r="U34" i="9"/>
  <c r="N34" i="9"/>
  <c r="M34" i="9"/>
  <c r="P34" i="9" s="1"/>
  <c r="R34" i="9"/>
  <c r="AD34" i="9" s="1"/>
  <c r="Q60" i="9"/>
  <c r="F30" i="25" l="1"/>
  <c r="G30" i="25" s="1"/>
  <c r="H30" i="25"/>
  <c r="I30" i="25" s="1"/>
  <c r="F28" i="25"/>
  <c r="G28" i="25" s="1"/>
  <c r="H28" i="25"/>
  <c r="I28" i="25" s="1"/>
  <c r="F26" i="25"/>
  <c r="G26" i="25" s="1"/>
  <c r="H26" i="25"/>
  <c r="I26" i="25" s="1"/>
  <c r="F24" i="25"/>
  <c r="G24" i="25" s="1"/>
  <c r="H24" i="25"/>
  <c r="I24" i="25" s="1"/>
  <c r="F22" i="25"/>
  <c r="H22" i="25"/>
  <c r="I22" i="25" s="1"/>
  <c r="F29" i="25"/>
  <c r="G29" i="25" s="1"/>
  <c r="H29" i="25"/>
  <c r="I29" i="25" s="1"/>
  <c r="F27" i="25"/>
  <c r="G27" i="25" s="1"/>
  <c r="H27" i="25"/>
  <c r="I27" i="25" s="1"/>
  <c r="F25" i="25"/>
  <c r="G25" i="25" s="1"/>
  <c r="H25" i="25"/>
  <c r="I25" i="25" s="1"/>
  <c r="F23" i="25"/>
  <c r="H23" i="25"/>
  <c r="H45" i="25"/>
  <c r="H44" i="25"/>
  <c r="H43" i="25"/>
  <c r="I43" i="25" s="1"/>
  <c r="H42" i="25"/>
  <c r="H41" i="25"/>
  <c r="I41" i="25" s="1"/>
  <c r="H40" i="25"/>
  <c r="C17" i="25"/>
  <c r="AE61" i="9"/>
  <c r="AE32" i="9"/>
  <c r="O34" i="9"/>
  <c r="AC36" i="9" l="1"/>
  <c r="AF36" i="9" s="1"/>
  <c r="AA7" i="9"/>
  <c r="AD7" i="9"/>
  <c r="AA8" i="9"/>
  <c r="AD8" i="9"/>
  <c r="L58" i="10"/>
  <c r="AE36" i="9" l="1"/>
  <c r="F68" i="2"/>
  <c r="G25" i="21"/>
  <c r="H25" i="21"/>
  <c r="F52" i="21"/>
  <c r="F55" i="21"/>
  <c r="G16" i="19"/>
  <c r="F16" i="19"/>
  <c r="F8" i="19"/>
  <c r="F38" i="19"/>
  <c r="F35" i="19"/>
  <c r="F29" i="19"/>
  <c r="F25" i="19"/>
  <c r="F20" i="19"/>
  <c r="G101" i="22"/>
  <c r="G102" i="22"/>
  <c r="G103" i="22"/>
  <c r="G104" i="22"/>
  <c r="G105" i="22"/>
  <c r="H105" i="22"/>
  <c r="G100" i="22"/>
  <c r="G79" i="22"/>
  <c r="H79" i="22"/>
  <c r="G80" i="22"/>
  <c r="H80" i="22"/>
  <c r="G81" i="22"/>
  <c r="G82" i="22"/>
  <c r="H82" i="22"/>
  <c r="G83" i="22"/>
  <c r="H83" i="22"/>
  <c r="G84" i="22"/>
  <c r="G85" i="22"/>
  <c r="H85" i="22"/>
  <c r="G86" i="22"/>
  <c r="H86" i="22"/>
  <c r="G87" i="22"/>
  <c r="G88" i="22"/>
  <c r="G89" i="22"/>
  <c r="G90" i="22"/>
  <c r="G91" i="22"/>
  <c r="G92" i="22"/>
  <c r="G93" i="22"/>
  <c r="G94" i="22"/>
  <c r="G95" i="22"/>
  <c r="G96" i="22"/>
  <c r="G78" i="22"/>
  <c r="H30" i="22"/>
  <c r="D32" i="22" l="1"/>
  <c r="F32" i="22" l="1"/>
  <c r="F21" i="22"/>
  <c r="G25" i="22"/>
  <c r="G26" i="22"/>
  <c r="N60" i="10" l="1"/>
  <c r="G52" i="23" l="1"/>
  <c r="F50" i="23"/>
  <c r="G50" i="23"/>
  <c r="F51" i="23"/>
  <c r="G51" i="23"/>
  <c r="F52" i="23"/>
  <c r="F53" i="23"/>
  <c r="G53" i="23"/>
  <c r="F54" i="23"/>
  <c r="G54" i="23"/>
  <c r="F43" i="23"/>
  <c r="F44" i="23"/>
  <c r="F45" i="23"/>
  <c r="G45" i="23"/>
  <c r="F14" i="23"/>
  <c r="G14" i="23"/>
  <c r="F15" i="23"/>
  <c r="F16" i="23"/>
  <c r="F17" i="23"/>
  <c r="F18" i="23"/>
  <c r="F19" i="23"/>
  <c r="F20" i="23"/>
  <c r="F21" i="23"/>
  <c r="F22" i="23"/>
  <c r="F23" i="23"/>
  <c r="F24" i="23"/>
  <c r="F25" i="23"/>
  <c r="F26" i="23"/>
  <c r="F27" i="23"/>
  <c r="G27" i="23"/>
  <c r="F28" i="23"/>
  <c r="G28" i="23"/>
  <c r="F29" i="23"/>
  <c r="G29" i="23"/>
  <c r="F30" i="23"/>
  <c r="G30" i="23"/>
  <c r="F31" i="23"/>
  <c r="G31" i="23"/>
  <c r="F32" i="23"/>
  <c r="F33" i="23"/>
  <c r="F34" i="23"/>
  <c r="F35" i="23"/>
  <c r="F36" i="23"/>
  <c r="F37" i="23"/>
  <c r="F38" i="23"/>
  <c r="F39" i="23"/>
  <c r="F13" i="23"/>
  <c r="F12" i="23"/>
  <c r="F11" i="23"/>
  <c r="F9" i="23"/>
  <c r="G8" i="23"/>
  <c r="F8" i="23"/>
  <c r="V31" i="9" l="1"/>
  <c r="U31" i="9"/>
  <c r="R31" i="9"/>
  <c r="Q31" i="9"/>
  <c r="E7" i="23"/>
  <c r="F8" i="24" l="1"/>
  <c r="G8" i="24"/>
  <c r="F9" i="24"/>
  <c r="G9" i="24"/>
  <c r="F10" i="24"/>
  <c r="F11" i="24"/>
  <c r="G11" i="24"/>
  <c r="F12" i="24"/>
  <c r="G12" i="24"/>
  <c r="F13" i="24"/>
  <c r="G13" i="24"/>
  <c r="F14" i="24"/>
  <c r="G14" i="24"/>
  <c r="F15" i="24"/>
  <c r="G15" i="24"/>
  <c r="F16" i="24"/>
  <c r="F17" i="24"/>
  <c r="G17" i="24"/>
  <c r="F18" i="24"/>
  <c r="G18" i="24"/>
  <c r="F19" i="24"/>
  <c r="G19" i="24"/>
  <c r="F20" i="24"/>
  <c r="G20" i="24"/>
  <c r="F21" i="24"/>
  <c r="F22" i="24"/>
  <c r="G22" i="24"/>
  <c r="F23" i="24"/>
  <c r="G23" i="24"/>
  <c r="C7" i="24"/>
  <c r="E10" i="23" l="1"/>
  <c r="E55" i="21" l="1"/>
  <c r="D55" i="21"/>
  <c r="E52" i="21"/>
  <c r="H52" i="21" s="1"/>
  <c r="D52" i="21"/>
  <c r="H30" i="21"/>
  <c r="H21" i="21"/>
  <c r="D7" i="21"/>
  <c r="E122" i="22"/>
  <c r="E119" i="22"/>
  <c r="F99" i="22"/>
  <c r="E99" i="22"/>
  <c r="F75" i="22"/>
  <c r="E75" i="22"/>
  <c r="H54" i="22"/>
  <c r="D48" i="23"/>
  <c r="D10" i="23"/>
  <c r="D7" i="23"/>
  <c r="F7" i="23" l="1"/>
  <c r="G7" i="23"/>
  <c r="AC39" i="9"/>
  <c r="AC43" i="9"/>
  <c r="AC44" i="9"/>
  <c r="AC40" i="9"/>
  <c r="AC35" i="9"/>
  <c r="D7" i="24"/>
  <c r="D122" i="22" l="1"/>
  <c r="D119" i="22"/>
  <c r="AG71" i="9" l="1"/>
  <c r="H6" i="23"/>
  <c r="AH63" i="9"/>
  <c r="AH37" i="9"/>
  <c r="AH71" i="9" l="1"/>
  <c r="N17" i="2"/>
  <c r="P19" i="2" s="1"/>
  <c r="C33" i="18" l="1"/>
  <c r="C18" i="18" s="1"/>
  <c r="U64" i="9"/>
  <c r="E63" i="21"/>
  <c r="E51" i="2" s="1"/>
  <c r="E48" i="2" s="1"/>
  <c r="D118" i="22"/>
  <c r="F105" i="14" l="1"/>
  <c r="F102" i="14"/>
  <c r="F100" i="14"/>
  <c r="F96" i="14"/>
  <c r="F97" i="14"/>
  <c r="F98" i="14"/>
  <c r="F95" i="14"/>
  <c r="F93" i="14"/>
  <c r="Q34" i="9" l="1"/>
  <c r="E109" i="25" l="1"/>
  <c r="E108" i="25"/>
  <c r="E107" i="25"/>
  <c r="C109" i="25"/>
  <c r="C108" i="25"/>
  <c r="C107" i="25"/>
  <c r="D77" i="25"/>
  <c r="C77" i="25"/>
  <c r="D75" i="25"/>
  <c r="C75" i="25"/>
  <c r="E74" i="25"/>
  <c r="D74" i="25"/>
  <c r="C74" i="25"/>
  <c r="D73" i="25"/>
  <c r="C73" i="25"/>
  <c r="D72" i="25"/>
  <c r="C72" i="25"/>
  <c r="D71" i="25"/>
  <c r="C71" i="25"/>
  <c r="D70" i="25"/>
  <c r="C70" i="25"/>
  <c r="D69" i="25"/>
  <c r="C69" i="25"/>
  <c r="C34" i="25"/>
  <c r="D32" i="25"/>
  <c r="E32" i="25"/>
  <c r="C32" i="25"/>
  <c r="C68" i="25" l="1"/>
  <c r="D33" i="25"/>
  <c r="E33" i="25"/>
  <c r="C33" i="25"/>
  <c r="E12" i="25"/>
  <c r="E13" i="25"/>
  <c r="E14" i="25"/>
  <c r="E15" i="25"/>
  <c r="E16" i="25"/>
  <c r="E11" i="25"/>
  <c r="D12" i="25"/>
  <c r="D13" i="25"/>
  <c r="D14" i="25"/>
  <c r="D15" i="25"/>
  <c r="D16" i="25"/>
  <c r="D11" i="25"/>
  <c r="D109" i="25" l="1"/>
  <c r="D108" i="25"/>
  <c r="H108" i="25" s="1"/>
  <c r="I108" i="25" s="1"/>
  <c r="F108" i="25"/>
  <c r="G108" i="25" s="1"/>
  <c r="D107" i="25"/>
  <c r="H105" i="25"/>
  <c r="I105" i="25" s="1"/>
  <c r="F105" i="25"/>
  <c r="G105" i="25" s="1"/>
  <c r="H104" i="25"/>
  <c r="I104" i="25" s="1"/>
  <c r="F104" i="25"/>
  <c r="G104" i="25" s="1"/>
  <c r="H103" i="25"/>
  <c r="I103" i="25" s="1"/>
  <c r="F103" i="25"/>
  <c r="G103" i="25" s="1"/>
  <c r="E102" i="25"/>
  <c r="D102" i="25"/>
  <c r="C102" i="25"/>
  <c r="H101" i="25"/>
  <c r="I101" i="25" s="1"/>
  <c r="F101" i="25"/>
  <c r="G101" i="25" s="1"/>
  <c r="H100" i="25"/>
  <c r="I100" i="25" s="1"/>
  <c r="F100" i="25"/>
  <c r="G100" i="25" s="1"/>
  <c r="H99" i="25"/>
  <c r="I99" i="25" s="1"/>
  <c r="F99" i="25"/>
  <c r="G99" i="25" s="1"/>
  <c r="E98" i="25"/>
  <c r="D98" i="25"/>
  <c r="C98" i="25"/>
  <c r="F74" i="25"/>
  <c r="H74" i="25"/>
  <c r="I74" i="25" s="1"/>
  <c r="F45" i="25"/>
  <c r="G45" i="25" s="1"/>
  <c r="F43" i="25"/>
  <c r="F36" i="25"/>
  <c r="G36" i="25" s="1"/>
  <c r="H35" i="25"/>
  <c r="F34" i="25"/>
  <c r="G34" i="25" s="1"/>
  <c r="F32" i="25"/>
  <c r="G32" i="25" s="1"/>
  <c r="D31" i="25"/>
  <c r="E31" i="25"/>
  <c r="C31" i="25"/>
  <c r="F21" i="25"/>
  <c r="F20" i="25"/>
  <c r="F19" i="25"/>
  <c r="G19" i="25" s="1"/>
  <c r="H19" i="25"/>
  <c r="I19" i="25" s="1"/>
  <c r="H18" i="25"/>
  <c r="I18" i="25" s="1"/>
  <c r="D17" i="25"/>
  <c r="F16" i="25"/>
  <c r="H16" i="25"/>
  <c r="I16" i="25" s="1"/>
  <c r="F15" i="25"/>
  <c r="G15" i="25" s="1"/>
  <c r="H15" i="25"/>
  <c r="F14" i="25"/>
  <c r="G14" i="25" s="1"/>
  <c r="H14" i="25"/>
  <c r="I14" i="25" s="1"/>
  <c r="F13" i="25"/>
  <c r="G13" i="25" s="1"/>
  <c r="H13" i="25"/>
  <c r="I13" i="25" s="1"/>
  <c r="F12" i="25"/>
  <c r="G12" i="25" s="1"/>
  <c r="H12" i="25"/>
  <c r="I12" i="25" s="1"/>
  <c r="F11" i="25"/>
  <c r="G11" i="25" s="1"/>
  <c r="H11" i="25"/>
  <c r="I11" i="25" s="1"/>
  <c r="E10" i="25"/>
  <c r="D10" i="25"/>
  <c r="C10" i="25"/>
  <c r="C106" i="25" l="1"/>
  <c r="D106" i="25"/>
  <c r="H31" i="25"/>
  <c r="I31" i="25" s="1"/>
  <c r="E106" i="25"/>
  <c r="F98" i="25"/>
  <c r="G98" i="25" s="1"/>
  <c r="F10" i="25"/>
  <c r="G10" i="25" s="1"/>
  <c r="C9" i="25"/>
  <c r="D9" i="25"/>
  <c r="H10" i="25"/>
  <c r="I10" i="25" s="1"/>
  <c r="H20" i="25"/>
  <c r="H21" i="25"/>
  <c r="I21" i="25" s="1"/>
  <c r="H32" i="25"/>
  <c r="I32" i="25" s="1"/>
  <c r="H34" i="25"/>
  <c r="F38" i="25"/>
  <c r="G38" i="25" s="1"/>
  <c r="F39" i="25"/>
  <c r="G39" i="25" s="1"/>
  <c r="F40" i="25"/>
  <c r="G40" i="25" s="1"/>
  <c r="F41" i="25"/>
  <c r="G41" i="25" s="1"/>
  <c r="F42" i="25"/>
  <c r="G42" i="25" s="1"/>
  <c r="H102" i="25"/>
  <c r="I102" i="25" s="1"/>
  <c r="F102" i="25"/>
  <c r="G102" i="25" s="1"/>
  <c r="H107" i="25"/>
  <c r="I107" i="25" s="1"/>
  <c r="F107" i="25"/>
  <c r="G107" i="25" s="1"/>
  <c r="H109" i="25"/>
  <c r="I109" i="25" s="1"/>
  <c r="F109" i="25"/>
  <c r="G109" i="25" s="1"/>
  <c r="E17" i="25"/>
  <c r="F18" i="25"/>
  <c r="G18" i="25" s="1"/>
  <c r="F31" i="25"/>
  <c r="G31" i="25" s="1"/>
  <c r="F35" i="25"/>
  <c r="G35" i="25" s="1"/>
  <c r="H36" i="25"/>
  <c r="I36" i="25" s="1"/>
  <c r="H38" i="25"/>
  <c r="H39" i="25"/>
  <c r="I39" i="25" s="1"/>
  <c r="F44" i="25"/>
  <c r="G44" i="25" s="1"/>
  <c r="D68" i="25"/>
  <c r="H98" i="25"/>
  <c r="I98" i="25" s="1"/>
  <c r="F106" i="25" l="1"/>
  <c r="G106" i="25" s="1"/>
  <c r="H17" i="25"/>
  <c r="I17" i="25" s="1"/>
  <c r="F17" i="25"/>
  <c r="G17" i="25" s="1"/>
  <c r="E9" i="25"/>
  <c r="I34" i="25"/>
  <c r="H33" i="25"/>
  <c r="I33" i="25" s="1"/>
  <c r="F33" i="25"/>
  <c r="G33" i="25" s="1"/>
  <c r="H106" i="25"/>
  <c r="I106" i="25" s="1"/>
  <c r="H9" i="25" l="1"/>
  <c r="I9" i="25" s="1"/>
  <c r="F9" i="25"/>
  <c r="G9" i="25" s="1"/>
  <c r="I18" i="10" l="1"/>
  <c r="AE40" i="9"/>
  <c r="AE35" i="9"/>
  <c r="AE39" i="9"/>
  <c r="AE43" i="9"/>
  <c r="AE44" i="9"/>
  <c r="J35" i="10"/>
  <c r="J36" i="10"/>
  <c r="J37" i="10"/>
  <c r="J38" i="10"/>
  <c r="J39" i="10"/>
  <c r="J34" i="10"/>
  <c r="M34" i="10"/>
  <c r="N63" i="10"/>
  <c r="N57" i="10"/>
  <c r="H58" i="10"/>
  <c r="J58" i="10"/>
  <c r="AF35" i="9" l="1"/>
  <c r="AF43" i="9"/>
  <c r="AF44" i="9"/>
  <c r="AF39" i="9"/>
  <c r="AF40" i="9"/>
  <c r="J40" i="10"/>
  <c r="N58" i="10"/>
  <c r="F10" i="3"/>
  <c r="F41" i="23"/>
  <c r="H9" i="18"/>
  <c r="F61" i="18"/>
  <c r="F62" i="18"/>
  <c r="F60" i="18"/>
  <c r="F56" i="18"/>
  <c r="F47" i="18"/>
  <c r="F20" i="18"/>
  <c r="F22" i="18"/>
  <c r="F23" i="18"/>
  <c r="F24" i="18"/>
  <c r="F25" i="18"/>
  <c r="F26" i="18"/>
  <c r="F27" i="18"/>
  <c r="F28" i="18"/>
  <c r="F29" i="18"/>
  <c r="F30" i="18"/>
  <c r="F32" i="18"/>
  <c r="F19" i="18"/>
  <c r="F15" i="18"/>
  <c r="F16" i="18"/>
  <c r="F14" i="18"/>
  <c r="F9" i="18"/>
  <c r="G9" i="18" s="1"/>
  <c r="F25" i="24"/>
  <c r="F26" i="24"/>
  <c r="D72" i="22" l="1"/>
  <c r="G120" i="22"/>
  <c r="H120" i="22"/>
  <c r="G121" i="22"/>
  <c r="G123" i="22"/>
  <c r="H123" i="22"/>
  <c r="G117" i="22"/>
  <c r="H116" i="22"/>
  <c r="G116" i="22"/>
  <c r="G107" i="22"/>
  <c r="H107" i="22"/>
  <c r="G108" i="22"/>
  <c r="H108" i="22"/>
  <c r="G109" i="22"/>
  <c r="H109" i="22"/>
  <c r="G110" i="22"/>
  <c r="H110" i="22"/>
  <c r="G111" i="22"/>
  <c r="H111" i="22"/>
  <c r="G112" i="22"/>
  <c r="H112" i="22"/>
  <c r="G113" i="22"/>
  <c r="G114" i="22"/>
  <c r="H98" i="22"/>
  <c r="G98" i="22"/>
  <c r="G34" i="22"/>
  <c r="H34" i="22"/>
  <c r="G35" i="22"/>
  <c r="H35" i="22"/>
  <c r="G36" i="22"/>
  <c r="H36" i="22"/>
  <c r="G37" i="22"/>
  <c r="H37" i="22"/>
  <c r="G38" i="22"/>
  <c r="H38" i="22"/>
  <c r="G39" i="22"/>
  <c r="H39" i="22"/>
  <c r="G40" i="22"/>
  <c r="H40" i="22"/>
  <c r="G41" i="22"/>
  <c r="H41" i="22"/>
  <c r="G42" i="22"/>
  <c r="H42" i="22"/>
  <c r="G43" i="22"/>
  <c r="H43" i="22"/>
  <c r="G44" i="22"/>
  <c r="H44" i="22"/>
  <c r="G45" i="22"/>
  <c r="H45" i="22"/>
  <c r="G46" i="22"/>
  <c r="H46" i="22"/>
  <c r="G47" i="22"/>
  <c r="H47" i="22"/>
  <c r="G48" i="22"/>
  <c r="G49" i="22"/>
  <c r="H49" i="22"/>
  <c r="G50" i="22"/>
  <c r="H50" i="22"/>
  <c r="G51" i="22"/>
  <c r="H51" i="22"/>
  <c r="G52" i="22"/>
  <c r="H52" i="22"/>
  <c r="G53" i="22"/>
  <c r="H53" i="22"/>
  <c r="G54" i="22"/>
  <c r="G55" i="22"/>
  <c r="G56" i="22"/>
  <c r="G63" i="22"/>
  <c r="H63" i="22"/>
  <c r="G67" i="22"/>
  <c r="H67" i="22"/>
  <c r="G64" i="22"/>
  <c r="G57" i="22"/>
  <c r="G68" i="22"/>
  <c r="H68" i="22"/>
  <c r="G66" i="22"/>
  <c r="H66" i="22"/>
  <c r="G59" i="22"/>
  <c r="H59" i="22"/>
  <c r="G69" i="22"/>
  <c r="G62" i="22"/>
  <c r="H62" i="22"/>
  <c r="G65" i="22"/>
  <c r="G61" i="22"/>
  <c r="H61" i="22"/>
  <c r="G70" i="22"/>
  <c r="G71" i="22"/>
  <c r="H33" i="22"/>
  <c r="G33" i="22"/>
  <c r="G31" i="22"/>
  <c r="H31" i="22"/>
  <c r="G30" i="22"/>
  <c r="H29" i="22"/>
  <c r="G29" i="22"/>
  <c r="G22" i="22"/>
  <c r="H22" i="22"/>
  <c r="G24" i="22"/>
  <c r="G27" i="22"/>
  <c r="H23" i="22"/>
  <c r="G23" i="22"/>
  <c r="G9" i="22"/>
  <c r="H9" i="22"/>
  <c r="G10" i="22"/>
  <c r="H10" i="22"/>
  <c r="G11" i="22"/>
  <c r="G12" i="22"/>
  <c r="H12" i="22"/>
  <c r="G13" i="22"/>
  <c r="H13" i="22"/>
  <c r="G14" i="22"/>
  <c r="H14" i="22"/>
  <c r="G15" i="22"/>
  <c r="H15" i="22"/>
  <c r="G16" i="22"/>
  <c r="H16" i="22"/>
  <c r="G17" i="22"/>
  <c r="H17" i="22"/>
  <c r="G18" i="22"/>
  <c r="H18" i="22"/>
  <c r="G19" i="22"/>
  <c r="G20" i="22"/>
  <c r="E72" i="25"/>
  <c r="D30" i="19"/>
  <c r="E73" i="25"/>
  <c r="D32" i="19"/>
  <c r="E77" i="25" s="1"/>
  <c r="D33" i="19"/>
  <c r="D34" i="19"/>
  <c r="E75" i="25"/>
  <c r="E70" i="25"/>
  <c r="D21" i="19"/>
  <c r="D22" i="19"/>
  <c r="D23" i="19"/>
  <c r="D24" i="19"/>
  <c r="E71" i="25"/>
  <c r="D26" i="19"/>
  <c r="E69" i="25"/>
  <c r="H69" i="25" l="1"/>
  <c r="I69" i="25" s="1"/>
  <c r="E68" i="25"/>
  <c r="F69" i="25"/>
  <c r="G69" i="25" s="1"/>
  <c r="F70" i="25"/>
  <c r="G70" i="25" s="1"/>
  <c r="H70" i="25"/>
  <c r="I70" i="25" s="1"/>
  <c r="H75" i="25"/>
  <c r="I75" i="25" s="1"/>
  <c r="F75" i="25"/>
  <c r="G75" i="25" s="1"/>
  <c r="H71" i="25"/>
  <c r="I71" i="25" s="1"/>
  <c r="F71" i="25"/>
  <c r="G71" i="25" s="1"/>
  <c r="H73" i="25"/>
  <c r="I73" i="25" s="1"/>
  <c r="F73" i="25"/>
  <c r="G73" i="25" s="1"/>
  <c r="F72" i="25"/>
  <c r="G72" i="25" s="1"/>
  <c r="H72" i="25"/>
  <c r="I72" i="25" s="1"/>
  <c r="F91" i="2"/>
  <c r="F92" i="2"/>
  <c r="F93" i="2"/>
  <c r="F83" i="2" s="1"/>
  <c r="F94" i="2"/>
  <c r="F90" i="2"/>
  <c r="F44" i="2"/>
  <c r="F45" i="2"/>
  <c r="F46" i="2"/>
  <c r="F43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20" i="2"/>
  <c r="F11" i="2"/>
  <c r="F12" i="2"/>
  <c r="F13" i="2"/>
  <c r="F14" i="2"/>
  <c r="F15" i="2"/>
  <c r="F16" i="2"/>
  <c r="F10" i="2"/>
  <c r="F8" i="2"/>
  <c r="F68" i="25" l="1"/>
  <c r="G68" i="25" s="1"/>
  <c r="H68" i="25"/>
  <c r="I68" i="25" s="1"/>
  <c r="Z71" i="9" l="1"/>
  <c r="Y71" i="9"/>
  <c r="R64" i="9"/>
  <c r="Q64" i="9"/>
  <c r="AC64" i="9" s="1"/>
  <c r="R58" i="9"/>
  <c r="Q58" i="9"/>
  <c r="S58" i="9" s="1"/>
  <c r="V58" i="9"/>
  <c r="Q71" i="9"/>
  <c r="V60" i="9"/>
  <c r="V64" i="9"/>
  <c r="U58" i="9"/>
  <c r="X58" i="9" s="1"/>
  <c r="U60" i="9"/>
  <c r="X60" i="9" s="1"/>
  <c r="AA31" i="9"/>
  <c r="AB31" i="9"/>
  <c r="AC31" i="9"/>
  <c r="AD31" i="9"/>
  <c r="AA34" i="9"/>
  <c r="AB34" i="9"/>
  <c r="AA37" i="9"/>
  <c r="AB37" i="9"/>
  <c r="AC37" i="9"/>
  <c r="AA58" i="9"/>
  <c r="AB58" i="9"/>
  <c r="AA59" i="9"/>
  <c r="AB59" i="9"/>
  <c r="AC59" i="9"/>
  <c r="AD59" i="9"/>
  <c r="AA60" i="9"/>
  <c r="AB60" i="9"/>
  <c r="AA63" i="9"/>
  <c r="AB63" i="9"/>
  <c r="AC63" i="9"/>
  <c r="AD63" i="9"/>
  <c r="AA64" i="9"/>
  <c r="AB64" i="9"/>
  <c r="AA65" i="9"/>
  <c r="AB65" i="9"/>
  <c r="AA66" i="9"/>
  <c r="AB66" i="9"/>
  <c r="AD66" i="9"/>
  <c r="W31" i="9"/>
  <c r="X31" i="9"/>
  <c r="W37" i="9"/>
  <c r="X37" i="9"/>
  <c r="W59" i="9"/>
  <c r="X59" i="9"/>
  <c r="W63" i="9"/>
  <c r="X63" i="9"/>
  <c r="S31" i="9"/>
  <c r="T31" i="9"/>
  <c r="S37" i="9"/>
  <c r="T37" i="9"/>
  <c r="S59" i="9"/>
  <c r="T59" i="9"/>
  <c r="S63" i="9"/>
  <c r="T63" i="9"/>
  <c r="S65" i="9"/>
  <c r="T65" i="9"/>
  <c r="S66" i="9"/>
  <c r="T66" i="9"/>
  <c r="O31" i="9"/>
  <c r="P31" i="9"/>
  <c r="O37" i="9"/>
  <c r="P37" i="9"/>
  <c r="O58" i="9"/>
  <c r="P58" i="9"/>
  <c r="O59" i="9"/>
  <c r="P59" i="9"/>
  <c r="O60" i="9"/>
  <c r="P60" i="9"/>
  <c r="O63" i="9"/>
  <c r="P63" i="9"/>
  <c r="O64" i="9"/>
  <c r="P64" i="9"/>
  <c r="O65" i="9"/>
  <c r="P65" i="9"/>
  <c r="O66" i="9"/>
  <c r="P66" i="9"/>
  <c r="K47" i="10"/>
  <c r="T58" i="9" l="1"/>
  <c r="AF37" i="9"/>
  <c r="AE37" i="9"/>
  <c r="AD64" i="9"/>
  <c r="T64" i="9"/>
  <c r="S64" i="9"/>
  <c r="AF31" i="9"/>
  <c r="AD58" i="9"/>
  <c r="AC58" i="9"/>
  <c r="X64" i="9"/>
  <c r="V71" i="9"/>
  <c r="AF64" i="9"/>
  <c r="AD60" i="9"/>
  <c r="R71" i="9"/>
  <c r="S71" i="9" s="1"/>
  <c r="W58" i="9"/>
  <c r="U71" i="9"/>
  <c r="T60" i="9"/>
  <c r="S60" i="9"/>
  <c r="AF63" i="9"/>
  <c r="X34" i="9"/>
  <c r="AF59" i="9"/>
  <c r="AE31" i="9"/>
  <c r="AC60" i="9"/>
  <c r="S34" i="9"/>
  <c r="T34" i="9"/>
  <c r="AC34" i="9"/>
  <c r="AE34" i="9" s="1"/>
  <c r="W34" i="9"/>
  <c r="W60" i="9"/>
  <c r="W64" i="9"/>
  <c r="AE59" i="9"/>
  <c r="AE63" i="9"/>
  <c r="N56" i="10"/>
  <c r="AE64" i="9" l="1"/>
  <c r="AF60" i="9"/>
  <c r="AF58" i="9"/>
  <c r="AD71" i="9"/>
  <c r="AE58" i="9"/>
  <c r="AC71" i="9"/>
  <c r="AE60" i="9"/>
  <c r="AF34" i="9"/>
  <c r="L61" i="10"/>
  <c r="M39" i="10"/>
  <c r="G40" i="10"/>
  <c r="D40" i="10"/>
  <c r="F18" i="10"/>
  <c r="E45" i="18"/>
  <c r="D45" i="18"/>
  <c r="F45" i="18" s="1"/>
  <c r="C45" i="18"/>
  <c r="C40" i="18"/>
  <c r="E118" i="22"/>
  <c r="D99" i="22"/>
  <c r="C49" i="18" s="1"/>
  <c r="M40" i="10" l="1"/>
  <c r="G99" i="22"/>
  <c r="H99" i="22"/>
  <c r="H122" i="22"/>
  <c r="G122" i="22"/>
  <c r="G119" i="22"/>
  <c r="H119" i="22"/>
  <c r="G35" i="2"/>
  <c r="G118" i="22" l="1"/>
  <c r="H118" i="22"/>
  <c r="U11" i="9"/>
  <c r="X11" i="9"/>
  <c r="R11" i="9"/>
  <c r="E8" i="3" l="1"/>
  <c r="D8" i="3"/>
  <c r="D40" i="23"/>
  <c r="E12" i="3" s="1"/>
  <c r="E40" i="23"/>
  <c r="D12" i="3" s="1"/>
  <c r="F12" i="3" s="1"/>
  <c r="C40" i="23"/>
  <c r="C12" i="3" s="1"/>
  <c r="C7" i="23"/>
  <c r="C8" i="3" s="1"/>
  <c r="D63" i="18"/>
  <c r="F63" i="18" s="1"/>
  <c r="D49" i="18"/>
  <c r="F49" i="18" s="1"/>
  <c r="E63" i="18" l="1"/>
  <c r="C63" i="18"/>
  <c r="D21" i="22"/>
  <c r="C17" i="18" s="1"/>
  <c r="C19" i="19"/>
  <c r="G13" i="2" l="1"/>
  <c r="G115" i="22" l="1"/>
  <c r="H115" i="22"/>
  <c r="F115" i="22"/>
  <c r="D57" i="18" s="1"/>
  <c r="F57" i="18" s="1"/>
  <c r="E115" i="22"/>
  <c r="E57" i="18" s="1"/>
  <c r="D115" i="22"/>
  <c r="C57" i="18" s="1"/>
  <c r="G106" i="22"/>
  <c r="F106" i="22"/>
  <c r="D50" i="18" s="1"/>
  <c r="F50" i="18" s="1"/>
  <c r="E106" i="22"/>
  <c r="E50" i="18" s="1"/>
  <c r="D106" i="22"/>
  <c r="C50" i="18" s="1"/>
  <c r="E49" i="18"/>
  <c r="G97" i="22"/>
  <c r="H97" i="22"/>
  <c r="F97" i="22"/>
  <c r="D48" i="18" s="1"/>
  <c r="F48" i="18" s="1"/>
  <c r="E97" i="22"/>
  <c r="E48" i="18" s="1"/>
  <c r="D97" i="22"/>
  <c r="C48" i="18" s="1"/>
  <c r="F77" i="22"/>
  <c r="E77" i="22"/>
  <c r="E46" i="18" s="1"/>
  <c r="D77" i="22"/>
  <c r="C46" i="18" s="1"/>
  <c r="G75" i="22"/>
  <c r="G74" i="22"/>
  <c r="G73" i="22"/>
  <c r="E32" i="22"/>
  <c r="E33" i="18" s="1"/>
  <c r="F28" i="22"/>
  <c r="E28" i="22"/>
  <c r="E31" i="18" s="1"/>
  <c r="D28" i="22"/>
  <c r="E21" i="22"/>
  <c r="E17" i="18" s="1"/>
  <c r="F8" i="22"/>
  <c r="E8" i="22"/>
  <c r="D8" i="22"/>
  <c r="C44" i="18" l="1"/>
  <c r="D31" i="18"/>
  <c r="F31" i="18" s="1"/>
  <c r="H28" i="22"/>
  <c r="G28" i="22"/>
  <c r="H8" i="22"/>
  <c r="G8" i="22"/>
  <c r="D17" i="18"/>
  <c r="H21" i="22"/>
  <c r="G21" i="22"/>
  <c r="D33" i="18"/>
  <c r="F33" i="18" s="1"/>
  <c r="H32" i="22"/>
  <c r="G32" i="22"/>
  <c r="D46" i="18"/>
  <c r="F46" i="18" s="1"/>
  <c r="G77" i="22"/>
  <c r="H77" i="22"/>
  <c r="E24" i="24"/>
  <c r="D12" i="20" s="1"/>
  <c r="F12" i="20" s="1"/>
  <c r="D24" i="24"/>
  <c r="E12" i="20" s="1"/>
  <c r="C24" i="24"/>
  <c r="C12" i="20" s="1"/>
  <c r="D6" i="24"/>
  <c r="G49" i="23"/>
  <c r="F49" i="23"/>
  <c r="E48" i="23"/>
  <c r="E13" i="3"/>
  <c r="C48" i="23"/>
  <c r="C13" i="3" s="1"/>
  <c r="G47" i="23"/>
  <c r="F47" i="23"/>
  <c r="E46" i="23"/>
  <c r="D11" i="3" s="1"/>
  <c r="F11" i="3" s="1"/>
  <c r="D46" i="23"/>
  <c r="C46" i="23"/>
  <c r="C11" i="3" s="1"/>
  <c r="F42" i="23"/>
  <c r="G40" i="23"/>
  <c r="E9" i="3"/>
  <c r="C10" i="23"/>
  <c r="C9" i="3" s="1"/>
  <c r="G91" i="21"/>
  <c r="G90" i="21"/>
  <c r="G88" i="21"/>
  <c r="H87" i="21"/>
  <c r="G87" i="21"/>
  <c r="G86" i="21"/>
  <c r="H85" i="21"/>
  <c r="G85" i="21"/>
  <c r="G84" i="21"/>
  <c r="G82" i="21"/>
  <c r="G81" i="21"/>
  <c r="H80" i="21"/>
  <c r="G80" i="21"/>
  <c r="F79" i="21"/>
  <c r="D66" i="2" s="1"/>
  <c r="F66" i="2" s="1"/>
  <c r="E79" i="21"/>
  <c r="D79" i="21"/>
  <c r="C66" i="2" s="1"/>
  <c r="H78" i="21"/>
  <c r="G78" i="21"/>
  <c r="F77" i="21"/>
  <c r="D62" i="2" s="1"/>
  <c r="F62" i="2" s="1"/>
  <c r="E77" i="21"/>
  <c r="E62" i="2" s="1"/>
  <c r="D77" i="21"/>
  <c r="C62" i="2" s="1"/>
  <c r="H76" i="21"/>
  <c r="G76" i="21"/>
  <c r="H75" i="21"/>
  <c r="G75" i="21"/>
  <c r="H74" i="21"/>
  <c r="G74" i="21"/>
  <c r="H73" i="21"/>
  <c r="G73" i="21"/>
  <c r="H72" i="21"/>
  <c r="G72" i="21"/>
  <c r="H71" i="21"/>
  <c r="G71" i="21"/>
  <c r="H70" i="21"/>
  <c r="G70" i="21"/>
  <c r="H68" i="21"/>
  <c r="G68" i="21"/>
  <c r="H67" i="21"/>
  <c r="G67" i="21"/>
  <c r="H65" i="21"/>
  <c r="G65" i="21"/>
  <c r="H64" i="21"/>
  <c r="G64" i="21"/>
  <c r="F63" i="21"/>
  <c r="D51" i="2" s="1"/>
  <c r="F51" i="2" s="1"/>
  <c r="D63" i="21"/>
  <c r="C51" i="2" s="1"/>
  <c r="G61" i="21"/>
  <c r="H60" i="21"/>
  <c r="G60" i="21"/>
  <c r="G59" i="21"/>
  <c r="F58" i="21"/>
  <c r="D69" i="2" s="1"/>
  <c r="F69" i="2" s="1"/>
  <c r="E58" i="21"/>
  <c r="E69" i="2" s="1"/>
  <c r="D58" i="21"/>
  <c r="C69" i="2" s="1"/>
  <c r="G57" i="21"/>
  <c r="H56" i="21"/>
  <c r="G56" i="21"/>
  <c r="G55" i="21"/>
  <c r="G54" i="21"/>
  <c r="H53" i="21"/>
  <c r="G53" i="21"/>
  <c r="G52" i="21"/>
  <c r="D63" i="2"/>
  <c r="E63" i="2"/>
  <c r="D57" i="25" s="1"/>
  <c r="C63" i="2"/>
  <c r="C57" i="25" s="1"/>
  <c r="H50" i="21"/>
  <c r="G50" i="21"/>
  <c r="H48" i="21"/>
  <c r="G48" i="21"/>
  <c r="H47" i="21"/>
  <c r="G47" i="21"/>
  <c r="H46" i="21"/>
  <c r="G46" i="21"/>
  <c r="H45" i="21"/>
  <c r="G45" i="21"/>
  <c r="H44" i="21"/>
  <c r="G44" i="21"/>
  <c r="H43" i="21"/>
  <c r="G43" i="21"/>
  <c r="G42" i="21"/>
  <c r="H41" i="21"/>
  <c r="G41" i="21"/>
  <c r="F40" i="21"/>
  <c r="D58" i="2" s="1"/>
  <c r="F58" i="2" s="1"/>
  <c r="E40" i="21"/>
  <c r="E58" i="2" s="1"/>
  <c r="D40" i="21"/>
  <c r="C58" i="2" s="1"/>
  <c r="H39" i="21"/>
  <c r="G39" i="21"/>
  <c r="G38" i="21"/>
  <c r="F37" i="21"/>
  <c r="D47" i="2" s="1"/>
  <c r="F47" i="2" s="1"/>
  <c r="E37" i="21"/>
  <c r="D37" i="21"/>
  <c r="C47" i="2" s="1"/>
  <c r="H36" i="21"/>
  <c r="G36" i="21"/>
  <c r="H35" i="21"/>
  <c r="G35" i="21"/>
  <c r="G34" i="21"/>
  <c r="H33" i="21"/>
  <c r="G33" i="21"/>
  <c r="H32" i="21"/>
  <c r="G32" i="21"/>
  <c r="G31" i="21"/>
  <c r="G30" i="21"/>
  <c r="H29" i="21"/>
  <c r="G29" i="21"/>
  <c r="F28" i="21"/>
  <c r="D39" i="2" s="1"/>
  <c r="D19" i="2" s="1"/>
  <c r="E54" i="25" s="1"/>
  <c r="E28" i="21"/>
  <c r="D28" i="21"/>
  <c r="C39" i="2" s="1"/>
  <c r="G27" i="21"/>
  <c r="H26" i="21"/>
  <c r="G26" i="21"/>
  <c r="G21" i="21"/>
  <c r="H20" i="21"/>
  <c r="G20" i="21"/>
  <c r="H19" i="21"/>
  <c r="G19" i="21"/>
  <c r="H18" i="21"/>
  <c r="G18" i="21"/>
  <c r="H17" i="21"/>
  <c r="G17" i="21"/>
  <c r="H15" i="21"/>
  <c r="G15" i="21"/>
  <c r="G14" i="21"/>
  <c r="H13" i="21"/>
  <c r="G13" i="21"/>
  <c r="H12" i="21"/>
  <c r="G12" i="21"/>
  <c r="G10" i="21"/>
  <c r="H9" i="21"/>
  <c r="G9" i="21"/>
  <c r="H8" i="21"/>
  <c r="G8" i="21"/>
  <c r="F7" i="21"/>
  <c r="D17" i="2" s="1"/>
  <c r="F17" i="2" s="1"/>
  <c r="E7" i="21"/>
  <c r="E17" i="2" s="1"/>
  <c r="E9" i="2" s="1"/>
  <c r="E18" i="2" s="1"/>
  <c r="C17" i="2"/>
  <c r="D13" i="3" l="1"/>
  <c r="F13" i="3" s="1"/>
  <c r="F48" i="23"/>
  <c r="G48" i="23"/>
  <c r="F17" i="18"/>
  <c r="F63" i="2"/>
  <c r="E57" i="25"/>
  <c r="H57" i="25" s="1"/>
  <c r="I57" i="25" s="1"/>
  <c r="E6" i="23"/>
  <c r="F24" i="24"/>
  <c r="C6" i="24"/>
  <c r="E6" i="24"/>
  <c r="F39" i="2"/>
  <c r="F46" i="23"/>
  <c r="E11" i="3"/>
  <c r="F10" i="23"/>
  <c r="D9" i="3"/>
  <c r="F9" i="3" s="1"/>
  <c r="G79" i="21"/>
  <c r="E66" i="2"/>
  <c r="G40" i="21"/>
  <c r="G37" i="21"/>
  <c r="E47" i="2"/>
  <c r="E40" i="2" s="1"/>
  <c r="G28" i="21"/>
  <c r="E39" i="2"/>
  <c r="G7" i="21"/>
  <c r="C6" i="23"/>
  <c r="H51" i="21"/>
  <c r="H63" i="21"/>
  <c r="G7" i="24"/>
  <c r="D6" i="23"/>
  <c r="G46" i="23"/>
  <c r="H79" i="21"/>
  <c r="G77" i="21"/>
  <c r="G63" i="21"/>
  <c r="G58" i="21"/>
  <c r="G51" i="21"/>
  <c r="H37" i="21"/>
  <c r="H28" i="21"/>
  <c r="F7" i="24"/>
  <c r="G10" i="23"/>
  <c r="F40" i="23"/>
  <c r="H7" i="21"/>
  <c r="H40" i="21"/>
  <c r="H58" i="21"/>
  <c r="H77" i="21"/>
  <c r="G6" i="23" l="1"/>
  <c r="F57" i="25"/>
  <c r="G57" i="25" s="1"/>
  <c r="F6" i="23"/>
  <c r="F6" i="24"/>
  <c r="E55" i="18"/>
  <c r="G6" i="24"/>
  <c r="N64" i="10"/>
  <c r="N61" i="10" s="1"/>
  <c r="D83" i="14"/>
  <c r="N71" i="9"/>
  <c r="D82" i="14" s="1"/>
  <c r="M71" i="9"/>
  <c r="P71" i="9" s="1"/>
  <c r="AB70" i="9"/>
  <c r="AA70" i="9"/>
  <c r="AB69" i="9"/>
  <c r="AA69" i="9"/>
  <c r="AB68" i="9"/>
  <c r="AA68" i="9"/>
  <c r="AB67" i="9"/>
  <c r="AA67" i="9"/>
  <c r="T70" i="9"/>
  <c r="S70" i="9"/>
  <c r="T69" i="9"/>
  <c r="S69" i="9"/>
  <c r="T68" i="9"/>
  <c r="S68" i="9"/>
  <c r="T67" i="9"/>
  <c r="S67" i="9"/>
  <c r="AD68" i="9"/>
  <c r="AD69" i="9"/>
  <c r="AD70" i="9"/>
  <c r="AD67" i="9"/>
  <c r="O68" i="9"/>
  <c r="P68" i="9"/>
  <c r="O69" i="9"/>
  <c r="P69" i="9"/>
  <c r="O70" i="9"/>
  <c r="P70" i="9"/>
  <c r="P67" i="9"/>
  <c r="O67" i="9"/>
  <c r="E83" i="14"/>
  <c r="D84" i="14"/>
  <c r="E85" i="14"/>
  <c r="D85" i="14"/>
  <c r="AA21" i="9"/>
  <c r="AD21" i="9"/>
  <c r="AD20" i="9"/>
  <c r="AA20" i="9"/>
  <c r="U22" i="9"/>
  <c r="E21" i="2" s="1"/>
  <c r="X22" i="9"/>
  <c r="R22" i="9"/>
  <c r="C21" i="2" s="1"/>
  <c r="C19" i="2" s="1"/>
  <c r="C54" i="25" s="1"/>
  <c r="AA10" i="9"/>
  <c r="AD10" i="9"/>
  <c r="AD9" i="9"/>
  <c r="AA9" i="9"/>
  <c r="AA11" i="9"/>
  <c r="E11" i="20"/>
  <c r="D11" i="20"/>
  <c r="F11" i="20" s="1"/>
  <c r="C11" i="20"/>
  <c r="M35" i="10"/>
  <c r="M36" i="10"/>
  <c r="M37" i="10"/>
  <c r="M38" i="10"/>
  <c r="D116" i="14"/>
  <c r="J61" i="10"/>
  <c r="E116" i="14" s="1"/>
  <c r="H61" i="10"/>
  <c r="D112" i="14" s="1"/>
  <c r="F61" i="10"/>
  <c r="D61" i="10"/>
  <c r="F58" i="10"/>
  <c r="D111" i="14"/>
  <c r="E115" i="14"/>
  <c r="F115" i="14"/>
  <c r="D54" i="10"/>
  <c r="D58" i="10"/>
  <c r="F54" i="10"/>
  <c r="H54" i="10"/>
  <c r="J54" i="10"/>
  <c r="E114" i="14" s="1"/>
  <c r="H114" i="14" s="1"/>
  <c r="L54" i="10"/>
  <c r="F114" i="14" s="1"/>
  <c r="L11" i="10"/>
  <c r="N11" i="10"/>
  <c r="L12" i="10"/>
  <c r="N12" i="10"/>
  <c r="L13" i="10"/>
  <c r="N13" i="10"/>
  <c r="L15" i="10"/>
  <c r="N15" i="10"/>
  <c r="L16" i="10"/>
  <c r="N16" i="10"/>
  <c r="L17" i="10"/>
  <c r="N17" i="10"/>
  <c r="L19" i="10"/>
  <c r="N19" i="10"/>
  <c r="L20" i="10"/>
  <c r="N20" i="10"/>
  <c r="L21" i="10"/>
  <c r="N21" i="10"/>
  <c r="F23" i="10"/>
  <c r="E124" i="14" s="1"/>
  <c r="I23" i="10"/>
  <c r="D124" i="14" s="1"/>
  <c r="F24" i="10"/>
  <c r="I24" i="10"/>
  <c r="F125" i="14" s="1"/>
  <c r="F25" i="10"/>
  <c r="I25" i="10"/>
  <c r="F126" i="14" s="1"/>
  <c r="C23" i="10"/>
  <c r="C124" i="14" s="1"/>
  <c r="C24" i="10"/>
  <c r="C125" i="14" s="1"/>
  <c r="C25" i="10"/>
  <c r="C126" i="14" s="1"/>
  <c r="N18" i="10"/>
  <c r="C18" i="10"/>
  <c r="F14" i="10"/>
  <c r="I14" i="10"/>
  <c r="C14" i="10"/>
  <c r="F10" i="10"/>
  <c r="F22" i="10" s="1"/>
  <c r="I10" i="10"/>
  <c r="I22" i="10" s="1"/>
  <c r="D123" i="14" s="1"/>
  <c r="C10" i="10"/>
  <c r="C113" i="14"/>
  <c r="C109" i="14"/>
  <c r="E19" i="11"/>
  <c r="D91" i="14" s="1"/>
  <c r="F19" i="11"/>
  <c r="E91" i="14" s="1"/>
  <c r="G19" i="11"/>
  <c r="F91" i="14" s="1"/>
  <c r="D19" i="11"/>
  <c r="C91" i="14" s="1"/>
  <c r="E15" i="11"/>
  <c r="F15" i="11"/>
  <c r="G15" i="11"/>
  <c r="D15" i="11"/>
  <c r="E14" i="11"/>
  <c r="D90" i="14" s="1"/>
  <c r="F14" i="11"/>
  <c r="E90" i="14" s="1"/>
  <c r="G14" i="11"/>
  <c r="F90" i="14" s="1"/>
  <c r="H90" i="14" l="1"/>
  <c r="H91" i="14"/>
  <c r="E19" i="2"/>
  <c r="D54" i="25" s="1"/>
  <c r="H54" i="25" s="1"/>
  <c r="I54" i="25" s="1"/>
  <c r="F110" i="14"/>
  <c r="H65" i="10"/>
  <c r="AD22" i="9"/>
  <c r="C22" i="10"/>
  <c r="C123" i="14" s="1"/>
  <c r="AA22" i="9"/>
  <c r="G90" i="14"/>
  <c r="G91" i="14"/>
  <c r="F54" i="25"/>
  <c r="G54" i="25" s="1"/>
  <c r="N14" i="10"/>
  <c r="N25" i="10"/>
  <c r="N54" i="10"/>
  <c r="N65" i="10" s="1"/>
  <c r="G114" i="14"/>
  <c r="D65" i="10"/>
  <c r="L14" i="10"/>
  <c r="N10" i="10"/>
  <c r="G12" i="20"/>
  <c r="H12" i="20"/>
  <c r="G110" i="14"/>
  <c r="D114" i="14"/>
  <c r="F116" i="14"/>
  <c r="D115" i="14"/>
  <c r="D110" i="14"/>
  <c r="D109" i="14" s="1"/>
  <c r="H110" i="14"/>
  <c r="F112" i="14"/>
  <c r="J65" i="10"/>
  <c r="F65" i="10"/>
  <c r="L65" i="10"/>
  <c r="F111" i="14"/>
  <c r="D81" i="14"/>
  <c r="E82" i="14"/>
  <c r="AB71" i="9"/>
  <c r="AA71" i="9"/>
  <c r="T71" i="9"/>
  <c r="O71" i="9"/>
  <c r="AD11" i="9"/>
  <c r="D9" i="20"/>
  <c r="F9" i="20"/>
  <c r="E9" i="20"/>
  <c r="H11" i="20"/>
  <c r="L18" i="10"/>
  <c r="D125" i="14"/>
  <c r="L24" i="10"/>
  <c r="L22" i="10"/>
  <c r="E126" i="14"/>
  <c r="N23" i="10"/>
  <c r="D126" i="14"/>
  <c r="F124" i="14"/>
  <c r="L25" i="10"/>
  <c r="L23" i="10"/>
  <c r="N24" i="10"/>
  <c r="N22" i="10"/>
  <c r="E125" i="14"/>
  <c r="D113" i="14" l="1"/>
  <c r="H9" i="20"/>
  <c r="G11" i="20"/>
  <c r="G9" i="20"/>
  <c r="D14" i="11"/>
  <c r="C90" i="14" s="1"/>
  <c r="D103" i="14"/>
  <c r="D106" i="14" s="1"/>
  <c r="E103" i="14"/>
  <c r="F103" i="14"/>
  <c r="F106" i="14" s="1"/>
  <c r="C103" i="14"/>
  <c r="D99" i="14"/>
  <c r="E99" i="14"/>
  <c r="F99" i="14"/>
  <c r="D94" i="14"/>
  <c r="E94" i="14"/>
  <c r="H94" i="14" s="1"/>
  <c r="F94" i="14"/>
  <c r="G95" i="14"/>
  <c r="H95" i="14"/>
  <c r="G96" i="14"/>
  <c r="H96" i="14"/>
  <c r="G97" i="14"/>
  <c r="H97" i="14"/>
  <c r="G98" i="14"/>
  <c r="H98" i="14"/>
  <c r="G100" i="14"/>
  <c r="H100" i="14"/>
  <c r="G101" i="14"/>
  <c r="H101" i="14"/>
  <c r="G102" i="14"/>
  <c r="H102" i="14"/>
  <c r="G104" i="14"/>
  <c r="H104" i="14"/>
  <c r="G105" i="14"/>
  <c r="H105" i="14"/>
  <c r="H93" i="14"/>
  <c r="G93" i="14"/>
  <c r="C81" i="14"/>
  <c r="D71" i="14"/>
  <c r="E71" i="14"/>
  <c r="H71" i="14" s="1"/>
  <c r="F71" i="14"/>
  <c r="C71" i="14"/>
  <c r="E66" i="14"/>
  <c r="C66" i="14"/>
  <c r="H13" i="3"/>
  <c r="D80" i="14"/>
  <c r="C80" i="14"/>
  <c r="E79" i="14"/>
  <c r="F79" i="14"/>
  <c r="C79" i="14"/>
  <c r="E78" i="14"/>
  <c r="D78" i="14"/>
  <c r="C78" i="14"/>
  <c r="E77" i="14"/>
  <c r="F77" i="14"/>
  <c r="D77" i="14"/>
  <c r="C77" i="14"/>
  <c r="F76" i="14"/>
  <c r="D76" i="14"/>
  <c r="C76" i="14"/>
  <c r="E75" i="14"/>
  <c r="F8" i="3"/>
  <c r="F75" i="14" s="1"/>
  <c r="D75" i="14"/>
  <c r="C75" i="14"/>
  <c r="E7" i="3"/>
  <c r="H67" i="18"/>
  <c r="G67" i="18"/>
  <c r="C58" i="18"/>
  <c r="D54" i="18"/>
  <c r="F55" i="18"/>
  <c r="G71" i="14" l="1"/>
  <c r="H8" i="3"/>
  <c r="H75" i="14"/>
  <c r="H103" i="14"/>
  <c r="G99" i="14"/>
  <c r="H99" i="14"/>
  <c r="G94" i="14"/>
  <c r="G103" i="14"/>
  <c r="H11" i="3"/>
  <c r="G9" i="3"/>
  <c r="G12" i="3"/>
  <c r="H12" i="3"/>
  <c r="H9" i="3"/>
  <c r="E54" i="18"/>
  <c r="G77" i="14"/>
  <c r="H77" i="14"/>
  <c r="H79" i="14"/>
  <c r="G79" i="14"/>
  <c r="G75" i="14"/>
  <c r="E80" i="14"/>
  <c r="D79" i="14"/>
  <c r="E76" i="14"/>
  <c r="H76" i="14" s="1"/>
  <c r="H10" i="3"/>
  <c r="G8" i="3"/>
  <c r="G10" i="3"/>
  <c r="G11" i="3"/>
  <c r="G13" i="3"/>
  <c r="E74" i="14"/>
  <c r="F80" i="14"/>
  <c r="F78" i="14"/>
  <c r="G78" i="14" s="1"/>
  <c r="F54" i="18"/>
  <c r="D7" i="3"/>
  <c r="D74" i="14" s="1"/>
  <c r="F7" i="3"/>
  <c r="H7" i="3" s="1"/>
  <c r="C7" i="3"/>
  <c r="C74" i="14" s="1"/>
  <c r="H48" i="18"/>
  <c r="D42" i="18"/>
  <c r="E42" i="18"/>
  <c r="G42" i="18" s="1"/>
  <c r="F42" i="18"/>
  <c r="C42" i="18"/>
  <c r="H45" i="18"/>
  <c r="C41" i="18"/>
  <c r="F40" i="18"/>
  <c r="C36" i="18"/>
  <c r="H31" i="18"/>
  <c r="E18" i="18"/>
  <c r="E12" i="18"/>
  <c r="E67" i="14" s="1"/>
  <c r="F12" i="18"/>
  <c r="F8" i="18" s="1"/>
  <c r="D12" i="18"/>
  <c r="C12" i="18"/>
  <c r="C67" i="14" s="1"/>
  <c r="G10" i="18"/>
  <c r="H10" i="18"/>
  <c r="G11" i="18"/>
  <c r="H11" i="18"/>
  <c r="G13" i="18"/>
  <c r="H13" i="18"/>
  <c r="G14" i="18"/>
  <c r="H14" i="18"/>
  <c r="G15" i="18"/>
  <c r="H15" i="18"/>
  <c r="G16" i="18"/>
  <c r="H16" i="18"/>
  <c r="H17" i="18"/>
  <c r="G19" i="18"/>
  <c r="H19" i="18"/>
  <c r="G20" i="18"/>
  <c r="H20" i="18"/>
  <c r="G22" i="18"/>
  <c r="H22" i="18"/>
  <c r="G23" i="18"/>
  <c r="H23" i="18"/>
  <c r="G24" i="18"/>
  <c r="H24" i="18"/>
  <c r="G25" i="18"/>
  <c r="H25" i="18"/>
  <c r="G26" i="18"/>
  <c r="H26" i="18"/>
  <c r="G27" i="18"/>
  <c r="H27" i="18"/>
  <c r="G28" i="18"/>
  <c r="H28" i="18"/>
  <c r="G29" i="18"/>
  <c r="H29" i="18"/>
  <c r="G30" i="18"/>
  <c r="H30" i="18"/>
  <c r="G32" i="18"/>
  <c r="H32" i="18"/>
  <c r="G37" i="18"/>
  <c r="H37" i="18"/>
  <c r="G38" i="18"/>
  <c r="H38" i="18"/>
  <c r="G39" i="18"/>
  <c r="H39" i="18"/>
  <c r="H42" i="18"/>
  <c r="G43" i="18"/>
  <c r="H43" i="18"/>
  <c r="G55" i="18"/>
  <c r="H55" i="18"/>
  <c r="G56" i="18"/>
  <c r="H56" i="18"/>
  <c r="G57" i="18"/>
  <c r="H57" i="18"/>
  <c r="G59" i="18"/>
  <c r="H59" i="18"/>
  <c r="G60" i="18"/>
  <c r="H60" i="18"/>
  <c r="G61" i="18"/>
  <c r="H61" i="18"/>
  <c r="G62" i="18"/>
  <c r="H62" i="18"/>
  <c r="G63" i="18"/>
  <c r="H63" i="18"/>
  <c r="G52" i="14"/>
  <c r="H52" i="14"/>
  <c r="D53" i="14"/>
  <c r="E53" i="14"/>
  <c r="F53" i="14"/>
  <c r="D54" i="14"/>
  <c r="D122" i="14" s="1"/>
  <c r="E54" i="14"/>
  <c r="E122" i="14" s="1"/>
  <c r="F54" i="14"/>
  <c r="F122" i="14" s="1"/>
  <c r="D55" i="14"/>
  <c r="E55" i="14"/>
  <c r="F55" i="14"/>
  <c r="D56" i="14"/>
  <c r="E56" i="14"/>
  <c r="F56" i="14"/>
  <c r="D57" i="14"/>
  <c r="E57" i="14"/>
  <c r="F57" i="14"/>
  <c r="D42" i="14"/>
  <c r="E42" i="14"/>
  <c r="H42" i="14" s="1"/>
  <c r="F42" i="14"/>
  <c r="D43" i="14"/>
  <c r="E43" i="14"/>
  <c r="H43" i="14" s="1"/>
  <c r="F43" i="14"/>
  <c r="D44" i="14"/>
  <c r="E44" i="14"/>
  <c r="H44" i="14" s="1"/>
  <c r="F44" i="14"/>
  <c r="D45" i="14"/>
  <c r="E45" i="14"/>
  <c r="H45" i="14" s="1"/>
  <c r="F45" i="14"/>
  <c r="D35" i="14"/>
  <c r="E35" i="14"/>
  <c r="H35" i="14" s="1"/>
  <c r="F35" i="14"/>
  <c r="D36" i="14"/>
  <c r="E36" i="14"/>
  <c r="H36" i="14" s="1"/>
  <c r="F36" i="14"/>
  <c r="D37" i="14"/>
  <c r="E37" i="14"/>
  <c r="F37" i="14"/>
  <c r="D38" i="14"/>
  <c r="E38" i="14"/>
  <c r="F38" i="14"/>
  <c r="G35" i="14" l="1"/>
  <c r="G44" i="14"/>
  <c r="G42" i="14"/>
  <c r="D67" i="14"/>
  <c r="D8" i="18"/>
  <c r="G45" i="14"/>
  <c r="G36" i="14"/>
  <c r="G43" i="14"/>
  <c r="G57" i="14"/>
  <c r="H56" i="14"/>
  <c r="F58" i="14"/>
  <c r="F67" i="14"/>
  <c r="G67" i="14" s="1"/>
  <c r="D18" i="18"/>
  <c r="D34" i="18" s="1"/>
  <c r="D68" i="14" s="1"/>
  <c r="F21" i="18"/>
  <c r="H21" i="18" s="1"/>
  <c r="H80" i="14"/>
  <c r="H57" i="14"/>
  <c r="G55" i="14"/>
  <c r="D58" i="14"/>
  <c r="E17" i="11"/>
  <c r="H37" i="14"/>
  <c r="H38" i="14"/>
  <c r="H78" i="14"/>
  <c r="F17" i="11"/>
  <c r="G56" i="14"/>
  <c r="H55" i="14"/>
  <c r="G122" i="14"/>
  <c r="H122" i="14"/>
  <c r="G54" i="14"/>
  <c r="E58" i="14"/>
  <c r="G58" i="14" s="1"/>
  <c r="H54" i="14"/>
  <c r="H53" i="14"/>
  <c r="G53" i="14"/>
  <c r="G38" i="14"/>
  <c r="G37" i="14"/>
  <c r="G47" i="18"/>
  <c r="G49" i="18"/>
  <c r="G50" i="18"/>
  <c r="G51" i="18"/>
  <c r="H49" i="18"/>
  <c r="G54" i="18"/>
  <c r="H50" i="18"/>
  <c r="H46" i="18"/>
  <c r="H47" i="18"/>
  <c r="G21" i="18"/>
  <c r="G31" i="18"/>
  <c r="G33" i="18"/>
  <c r="G45" i="18"/>
  <c r="G12" i="18"/>
  <c r="E41" i="18"/>
  <c r="C8" i="18"/>
  <c r="C34" i="18" s="1"/>
  <c r="H51" i="18"/>
  <c r="H33" i="18"/>
  <c r="H12" i="18"/>
  <c r="E8" i="18"/>
  <c r="E34" i="18" s="1"/>
  <c r="G46" i="18"/>
  <c r="C52" i="18"/>
  <c r="C69" i="14" s="1"/>
  <c r="G48" i="18"/>
  <c r="H54" i="18"/>
  <c r="G7" i="3"/>
  <c r="F74" i="14"/>
  <c r="G74" i="14" s="1"/>
  <c r="G80" i="14"/>
  <c r="G76" i="14"/>
  <c r="D44" i="18"/>
  <c r="G17" i="18"/>
  <c r="E40" i="19"/>
  <c r="H40" i="19" s="1"/>
  <c r="D40" i="19"/>
  <c r="C40" i="19"/>
  <c r="D36" i="19"/>
  <c r="D63" i="14" s="1"/>
  <c r="C27" i="19"/>
  <c r="C62" i="14" s="1"/>
  <c r="D19" i="19"/>
  <c r="D61" i="14" s="1"/>
  <c r="F40" i="19"/>
  <c r="F36" i="19"/>
  <c r="F63" i="14" s="1"/>
  <c r="C36" i="19"/>
  <c r="C63" i="14" s="1"/>
  <c r="D27" i="19"/>
  <c r="D62" i="14" s="1"/>
  <c r="E27" i="19"/>
  <c r="F27" i="19"/>
  <c r="F62" i="14" s="1"/>
  <c r="E19" i="19"/>
  <c r="E61" i="14" s="1"/>
  <c r="F19" i="19"/>
  <c r="C61" i="14"/>
  <c r="G20" i="19"/>
  <c r="H20" i="19"/>
  <c r="G21" i="19"/>
  <c r="H21" i="19"/>
  <c r="G22" i="19"/>
  <c r="H22" i="19"/>
  <c r="G23" i="19"/>
  <c r="H23" i="19"/>
  <c r="G24" i="19"/>
  <c r="H24" i="19"/>
  <c r="G25" i="19"/>
  <c r="H25" i="19"/>
  <c r="G26" i="19"/>
  <c r="H26" i="19"/>
  <c r="G28" i="19"/>
  <c r="H28" i="19"/>
  <c r="G29" i="19"/>
  <c r="H29" i="19"/>
  <c r="G30" i="19"/>
  <c r="H30" i="19"/>
  <c r="G31" i="19"/>
  <c r="H31" i="19"/>
  <c r="G32" i="19"/>
  <c r="H32" i="19"/>
  <c r="G33" i="19"/>
  <c r="H33" i="19"/>
  <c r="G34" i="19"/>
  <c r="H34" i="19"/>
  <c r="G35" i="19"/>
  <c r="H35" i="19"/>
  <c r="G37" i="19"/>
  <c r="H37" i="19"/>
  <c r="G38" i="19"/>
  <c r="H38" i="19"/>
  <c r="H39" i="19"/>
  <c r="G41" i="19"/>
  <c r="H41" i="19"/>
  <c r="H42" i="19"/>
  <c r="G11" i="19"/>
  <c r="H11" i="19"/>
  <c r="G12" i="19"/>
  <c r="H12" i="19"/>
  <c r="G13" i="19"/>
  <c r="H13" i="19"/>
  <c r="G14" i="19"/>
  <c r="H14" i="19"/>
  <c r="H16" i="19"/>
  <c r="H10" i="19"/>
  <c r="G10" i="19"/>
  <c r="H15" i="19"/>
  <c r="G15" i="19"/>
  <c r="D9" i="19"/>
  <c r="E9" i="19"/>
  <c r="H9" i="19" s="1"/>
  <c r="F9" i="19"/>
  <c r="G9" i="19" s="1"/>
  <c r="H58" i="14" l="1"/>
  <c r="H67" i="14"/>
  <c r="F18" i="18"/>
  <c r="G18" i="18" s="1"/>
  <c r="D41" i="18"/>
  <c r="F44" i="18"/>
  <c r="F41" i="18" s="1"/>
  <c r="H19" i="19"/>
  <c r="G17" i="11"/>
  <c r="H74" i="14"/>
  <c r="C68" i="14"/>
  <c r="H8" i="18"/>
  <c r="G8" i="18"/>
  <c r="F43" i="19"/>
  <c r="F64" i="14" s="1"/>
  <c r="F61" i="14"/>
  <c r="G61" i="14" s="1"/>
  <c r="H27" i="19"/>
  <c r="E62" i="14"/>
  <c r="H62" i="14" s="1"/>
  <c r="G40" i="19"/>
  <c r="G42" i="19"/>
  <c r="D43" i="19"/>
  <c r="D64" i="14" s="1"/>
  <c r="G39" i="19"/>
  <c r="E36" i="19"/>
  <c r="C43" i="19"/>
  <c r="C64" i="14" s="1"/>
  <c r="G27" i="19"/>
  <c r="G19" i="19"/>
  <c r="C40" i="2"/>
  <c r="C55" i="25" s="1"/>
  <c r="F9" i="2"/>
  <c r="D53" i="25"/>
  <c r="D9" i="2"/>
  <c r="F40" i="2"/>
  <c r="F29" i="14" s="1"/>
  <c r="D48" i="2"/>
  <c r="E52" i="2"/>
  <c r="D56" i="25" s="1"/>
  <c r="E67" i="2"/>
  <c r="D58" i="25" s="1"/>
  <c r="C64" i="2"/>
  <c r="C52" i="2"/>
  <c r="C56" i="25" s="1"/>
  <c r="C48" i="2"/>
  <c r="C83" i="2"/>
  <c r="D83" i="2"/>
  <c r="C84" i="2"/>
  <c r="D84" i="2"/>
  <c r="C85" i="2"/>
  <c r="D85" i="2"/>
  <c r="C86" i="2"/>
  <c r="D86" i="2"/>
  <c r="C87" i="2"/>
  <c r="D87" i="2"/>
  <c r="F84" i="2"/>
  <c r="G84" i="2" s="1"/>
  <c r="F85" i="2"/>
  <c r="F86" i="2"/>
  <c r="F87" i="2"/>
  <c r="E87" i="2"/>
  <c r="H87" i="2" s="1"/>
  <c r="E86" i="2"/>
  <c r="E85" i="2"/>
  <c r="E84" i="2"/>
  <c r="E83" i="2"/>
  <c r="G83" i="2" s="1"/>
  <c r="C67" i="2"/>
  <c r="C58" i="25" s="1"/>
  <c r="G12" i="2"/>
  <c r="H12" i="2"/>
  <c r="H13" i="2"/>
  <c r="G14" i="2"/>
  <c r="H14" i="2"/>
  <c r="G15" i="2"/>
  <c r="H15" i="2"/>
  <c r="G16" i="2"/>
  <c r="H16" i="2"/>
  <c r="G20" i="2"/>
  <c r="H20" i="2"/>
  <c r="G21" i="2"/>
  <c r="H21" i="2"/>
  <c r="G22" i="2"/>
  <c r="H22" i="2"/>
  <c r="G23" i="2"/>
  <c r="H23" i="2"/>
  <c r="G24" i="2"/>
  <c r="H24" i="2"/>
  <c r="G25" i="2"/>
  <c r="H25" i="2"/>
  <c r="G26" i="2"/>
  <c r="H26" i="2"/>
  <c r="G27" i="2"/>
  <c r="H27" i="2"/>
  <c r="G28" i="2"/>
  <c r="H28" i="2"/>
  <c r="G29" i="2"/>
  <c r="H29" i="2"/>
  <c r="G30" i="2"/>
  <c r="H30" i="2"/>
  <c r="G31" i="2"/>
  <c r="H31" i="2"/>
  <c r="G32" i="2"/>
  <c r="H32" i="2"/>
  <c r="G33" i="2"/>
  <c r="H33" i="2"/>
  <c r="G34" i="2"/>
  <c r="H34" i="2"/>
  <c r="H35" i="2"/>
  <c r="G36" i="2"/>
  <c r="H36" i="2"/>
  <c r="G37" i="2"/>
  <c r="H37" i="2"/>
  <c r="G38" i="2"/>
  <c r="H38" i="2"/>
  <c r="G41" i="2"/>
  <c r="H41" i="2"/>
  <c r="G42" i="2"/>
  <c r="H42" i="2"/>
  <c r="G43" i="2"/>
  <c r="H43" i="2"/>
  <c r="G44" i="2"/>
  <c r="H44" i="2"/>
  <c r="G45" i="2"/>
  <c r="H45" i="2"/>
  <c r="G46" i="2"/>
  <c r="H46" i="2"/>
  <c r="G49" i="2"/>
  <c r="H49" i="2"/>
  <c r="G50" i="2"/>
  <c r="H50" i="2"/>
  <c r="G53" i="2"/>
  <c r="H53" i="2"/>
  <c r="G54" i="2"/>
  <c r="H54" i="2"/>
  <c r="G55" i="2"/>
  <c r="H55" i="2"/>
  <c r="G56" i="2"/>
  <c r="H56" i="2"/>
  <c r="G57" i="2"/>
  <c r="H57" i="2"/>
  <c r="G60" i="2"/>
  <c r="H60" i="2"/>
  <c r="G61" i="2"/>
  <c r="H61" i="2"/>
  <c r="G62" i="2"/>
  <c r="H62" i="2"/>
  <c r="G63" i="2"/>
  <c r="H63" i="2"/>
  <c r="G65" i="2"/>
  <c r="H65" i="2"/>
  <c r="G68" i="2"/>
  <c r="H68" i="2"/>
  <c r="G71" i="2"/>
  <c r="H71" i="2"/>
  <c r="G72" i="2"/>
  <c r="H72" i="2"/>
  <c r="G73" i="2"/>
  <c r="H73" i="2"/>
  <c r="G74" i="2"/>
  <c r="H74" i="2"/>
  <c r="G80" i="2"/>
  <c r="H80" i="2"/>
  <c r="G85" i="2"/>
  <c r="G90" i="2"/>
  <c r="H90" i="2"/>
  <c r="G91" i="2"/>
  <c r="H91" i="2"/>
  <c r="G92" i="2"/>
  <c r="H92" i="2"/>
  <c r="G93" i="2"/>
  <c r="H93" i="2"/>
  <c r="G94" i="2"/>
  <c r="H94" i="2"/>
  <c r="G8" i="2"/>
  <c r="H8" i="2"/>
  <c r="G10" i="2"/>
  <c r="H10" i="2"/>
  <c r="F95" i="2"/>
  <c r="G11" i="2"/>
  <c r="H11" i="2"/>
  <c r="D30" i="14" l="1"/>
  <c r="G86" i="2"/>
  <c r="G44" i="18"/>
  <c r="H44" i="18"/>
  <c r="H18" i="18"/>
  <c r="F34" i="18"/>
  <c r="F68" i="14" s="1"/>
  <c r="D18" i="2"/>
  <c r="E53" i="25"/>
  <c r="H61" i="14"/>
  <c r="H9" i="2"/>
  <c r="H83" i="2"/>
  <c r="G62" i="14"/>
  <c r="E68" i="14"/>
  <c r="H36" i="19"/>
  <c r="E63" i="14"/>
  <c r="H69" i="2"/>
  <c r="E40" i="14"/>
  <c r="E31" i="14"/>
  <c r="G36" i="19"/>
  <c r="E43" i="19"/>
  <c r="E64" i="14" s="1"/>
  <c r="H64" i="14" s="1"/>
  <c r="D40" i="2"/>
  <c r="D67" i="2"/>
  <c r="D64" i="2"/>
  <c r="D39" i="14" s="1"/>
  <c r="H58" i="2"/>
  <c r="D52" i="2"/>
  <c r="F19" i="2"/>
  <c r="F28" i="14" s="1"/>
  <c r="H39" i="2"/>
  <c r="G39" i="2"/>
  <c r="D28" i="14"/>
  <c r="F48" i="2"/>
  <c r="F30" i="14" s="1"/>
  <c r="H17" i="2"/>
  <c r="G17" i="2"/>
  <c r="H85" i="2"/>
  <c r="F18" i="2"/>
  <c r="G87" i="2"/>
  <c r="H84" i="2"/>
  <c r="H86" i="2"/>
  <c r="G9" i="2"/>
  <c r="D79" i="2" l="1"/>
  <c r="D78" i="2"/>
  <c r="D40" i="14"/>
  <c r="E58" i="25"/>
  <c r="D29" i="14"/>
  <c r="E55" i="25"/>
  <c r="H53" i="25"/>
  <c r="I53" i="25" s="1"/>
  <c r="D31" i="14"/>
  <c r="E56" i="25"/>
  <c r="H68" i="14"/>
  <c r="G68" i="14"/>
  <c r="H63" i="14"/>
  <c r="G63" i="14"/>
  <c r="G64" i="14"/>
  <c r="H19" i="2"/>
  <c r="E28" i="14"/>
  <c r="G19" i="2"/>
  <c r="G47" i="2"/>
  <c r="H47" i="2"/>
  <c r="E64" i="2"/>
  <c r="H66" i="2"/>
  <c r="D59" i="2"/>
  <c r="D70" i="2" s="1"/>
  <c r="D75" i="2" s="1"/>
  <c r="E79" i="2"/>
  <c r="G69" i="2"/>
  <c r="F67" i="2"/>
  <c r="H67" i="2" s="1"/>
  <c r="F64" i="2"/>
  <c r="G66" i="2"/>
  <c r="G58" i="2"/>
  <c r="F52" i="2"/>
  <c r="G51" i="2"/>
  <c r="E30" i="14"/>
  <c r="H30" i="14" s="1"/>
  <c r="H51" i="2"/>
  <c r="D120" i="14"/>
  <c r="D121" i="14"/>
  <c r="D119" i="14"/>
  <c r="C99" i="14"/>
  <c r="C94" i="14"/>
  <c r="D118" i="14" l="1"/>
  <c r="H56" i="25"/>
  <c r="I56" i="25" s="1"/>
  <c r="F56" i="25"/>
  <c r="G56" i="25" s="1"/>
  <c r="E52" i="25"/>
  <c r="F55" i="25"/>
  <c r="G55" i="25" s="1"/>
  <c r="E29" i="14"/>
  <c r="G29" i="14" s="1"/>
  <c r="D55" i="25"/>
  <c r="D52" i="25" s="1"/>
  <c r="H58" i="25"/>
  <c r="I58" i="25" s="1"/>
  <c r="F58" i="25"/>
  <c r="G58" i="25" s="1"/>
  <c r="D82" i="2"/>
  <c r="D88" i="2" s="1"/>
  <c r="G30" i="14"/>
  <c r="F31" i="14"/>
  <c r="H52" i="2"/>
  <c r="G67" i="2"/>
  <c r="F40" i="14"/>
  <c r="F59" i="2"/>
  <c r="F82" i="2" s="1"/>
  <c r="F88" i="2" s="1"/>
  <c r="G64" i="2"/>
  <c r="F39" i="14"/>
  <c r="H64" i="2"/>
  <c r="E39" i="14"/>
  <c r="H39" i="14" s="1"/>
  <c r="G28" i="14"/>
  <c r="H28" i="14"/>
  <c r="H40" i="2"/>
  <c r="G40" i="2"/>
  <c r="F78" i="2"/>
  <c r="G52" i="2"/>
  <c r="F79" i="2"/>
  <c r="G48" i="2"/>
  <c r="H48" i="2"/>
  <c r="E78" i="2"/>
  <c r="E59" i="2"/>
  <c r="E70" i="2" s="1"/>
  <c r="D76" i="2"/>
  <c r="D77" i="2"/>
  <c r="H52" i="25" l="1"/>
  <c r="I52" i="25" s="1"/>
  <c r="H29" i="14"/>
  <c r="H55" i="25"/>
  <c r="I55" i="25" s="1"/>
  <c r="G40" i="14"/>
  <c r="H40" i="14"/>
  <c r="F70" i="2"/>
  <c r="F75" i="2" s="1"/>
  <c r="F76" i="2" s="1"/>
  <c r="G39" i="14"/>
  <c r="G31" i="14"/>
  <c r="H31" i="14"/>
  <c r="E75" i="2"/>
  <c r="E82" i="2"/>
  <c r="E88" i="2" s="1"/>
  <c r="F77" i="2" l="1"/>
  <c r="H88" i="2"/>
  <c r="G88" i="2"/>
  <c r="E77" i="2"/>
  <c r="E76" i="2"/>
  <c r="H76" i="2" l="1"/>
  <c r="G76" i="2"/>
  <c r="H77" i="2"/>
  <c r="G77" i="2"/>
  <c r="D51" i="14" l="1"/>
  <c r="E51" i="14"/>
  <c r="H51" i="14" s="1"/>
  <c r="F51" i="14"/>
  <c r="C51" i="14"/>
  <c r="C45" i="14"/>
  <c r="C44" i="14"/>
  <c r="C43" i="14"/>
  <c r="C42" i="14"/>
  <c r="D25" i="14"/>
  <c r="E25" i="14"/>
  <c r="F25" i="14"/>
  <c r="G51" i="14" l="1"/>
  <c r="G18" i="11"/>
  <c r="E18" i="11"/>
  <c r="F18" i="11"/>
  <c r="H25" i="14"/>
  <c r="G25" i="14"/>
  <c r="H41" i="18"/>
  <c r="G41" i="18"/>
  <c r="D58" i="18"/>
  <c r="D64" i="18" s="1"/>
  <c r="D70" i="14" s="1"/>
  <c r="E58" i="18"/>
  <c r="F58" i="18"/>
  <c r="G58" i="18" l="1"/>
  <c r="F64" i="18"/>
  <c r="F70" i="14" s="1"/>
  <c r="H58" i="18"/>
  <c r="E64" i="18"/>
  <c r="E70" i="14" s="1"/>
  <c r="H70" i="14" l="1"/>
  <c r="G70" i="14"/>
  <c r="G64" i="18"/>
  <c r="H64" i="18"/>
  <c r="C9" i="20" l="1"/>
  <c r="C55" i="18" s="1"/>
  <c r="C54" i="18" s="1"/>
  <c r="C64" i="18" s="1"/>
  <c r="J83" i="9"/>
  <c r="H83" i="9"/>
  <c r="F83" i="9"/>
  <c r="F85" i="14"/>
  <c r="F84" i="14"/>
  <c r="F83" i="14"/>
  <c r="H85" i="14"/>
  <c r="H83" i="14"/>
  <c r="G116" i="14"/>
  <c r="H116" i="14"/>
  <c r="H112" i="14"/>
  <c r="H126" i="14"/>
  <c r="H125" i="14"/>
  <c r="H124" i="14"/>
  <c r="F120" i="14"/>
  <c r="E120" i="14"/>
  <c r="F121" i="14"/>
  <c r="E121" i="14"/>
  <c r="F119" i="14"/>
  <c r="E119" i="14"/>
  <c r="E118" i="14" s="1"/>
  <c r="C121" i="14"/>
  <c r="C120" i="14"/>
  <c r="C119" i="14"/>
  <c r="C54" i="14"/>
  <c r="E26" i="14"/>
  <c r="C56" i="14"/>
  <c r="D17" i="11" s="1"/>
  <c r="F36" i="18"/>
  <c r="C9" i="19"/>
  <c r="C55" i="14"/>
  <c r="C57" i="14"/>
  <c r="C53" i="14"/>
  <c r="D47" i="14"/>
  <c r="E47" i="14"/>
  <c r="F47" i="14"/>
  <c r="D48" i="14"/>
  <c r="E90" i="25" s="1"/>
  <c r="E88" i="25" s="1"/>
  <c r="E48" i="14"/>
  <c r="D90" i="25" s="1"/>
  <c r="D88" i="25" s="1"/>
  <c r="F48" i="14"/>
  <c r="C38" i="14"/>
  <c r="C37" i="14"/>
  <c r="C36" i="14"/>
  <c r="C35" i="14"/>
  <c r="C25" i="14"/>
  <c r="E95" i="2"/>
  <c r="C29" i="14"/>
  <c r="C40" i="14"/>
  <c r="C39" i="14"/>
  <c r="C31" i="14"/>
  <c r="C30" i="14"/>
  <c r="D95" i="2"/>
  <c r="C95" i="2"/>
  <c r="D26" i="14"/>
  <c r="D27" i="14" s="1"/>
  <c r="E85" i="25" s="1"/>
  <c r="C9" i="2"/>
  <c r="C28" i="14"/>
  <c r="C18" i="2" l="1"/>
  <c r="C59" i="2" s="1"/>
  <c r="C82" i="2" s="1"/>
  <c r="C88" i="2" s="1"/>
  <c r="C53" i="25"/>
  <c r="D32" i="14"/>
  <c r="E7" i="11"/>
  <c r="H119" i="14"/>
  <c r="H121" i="14"/>
  <c r="H120" i="14"/>
  <c r="C58" i="14"/>
  <c r="D18" i="11"/>
  <c r="F52" i="18"/>
  <c r="E27" i="14"/>
  <c r="R72" i="9"/>
  <c r="N72" i="9"/>
  <c r="Z72" i="9"/>
  <c r="V72" i="9"/>
  <c r="G83" i="14"/>
  <c r="G85" i="14"/>
  <c r="H82" i="14"/>
  <c r="F82" i="14"/>
  <c r="F81" i="14" s="1"/>
  <c r="G48" i="14"/>
  <c r="H48" i="14"/>
  <c r="H47" i="14"/>
  <c r="C65" i="18"/>
  <c r="C68" i="18" s="1"/>
  <c r="D66" i="18" s="1"/>
  <c r="C70" i="14"/>
  <c r="C72" i="14" s="1"/>
  <c r="G112" i="14"/>
  <c r="G121" i="14"/>
  <c r="H111" i="14"/>
  <c r="E109" i="14"/>
  <c r="H115" i="14"/>
  <c r="E113" i="14"/>
  <c r="G119" i="14"/>
  <c r="G120" i="14"/>
  <c r="G111" i="14"/>
  <c r="F109" i="14"/>
  <c r="F113" i="14"/>
  <c r="G115" i="14"/>
  <c r="F107" i="14"/>
  <c r="G106" i="14"/>
  <c r="G95" i="2"/>
  <c r="H95" i="2"/>
  <c r="F26" i="14"/>
  <c r="H26" i="14" s="1"/>
  <c r="L10" i="10"/>
  <c r="C106" i="14"/>
  <c r="C107" i="14" s="1"/>
  <c r="D107" i="14"/>
  <c r="H43" i="19"/>
  <c r="C78" i="2"/>
  <c r="F118" i="14"/>
  <c r="C49" i="14"/>
  <c r="D49" i="14"/>
  <c r="C118" i="14"/>
  <c r="D50" i="14"/>
  <c r="E49" i="14"/>
  <c r="G124" i="14"/>
  <c r="G126" i="14"/>
  <c r="C26" i="14"/>
  <c r="C79" i="2"/>
  <c r="C122" i="14"/>
  <c r="G125" i="14"/>
  <c r="F7" i="11" l="1"/>
  <c r="D85" i="25"/>
  <c r="H85" i="25" s="1"/>
  <c r="I85" i="25" s="1"/>
  <c r="D41" i="14"/>
  <c r="E86" i="25"/>
  <c r="F53" i="25"/>
  <c r="G53" i="25" s="1"/>
  <c r="C52" i="25"/>
  <c r="F52" i="25" s="1"/>
  <c r="G52" i="25" s="1"/>
  <c r="H113" i="14"/>
  <c r="H118" i="14"/>
  <c r="F69" i="14"/>
  <c r="F65" i="18"/>
  <c r="E32" i="14"/>
  <c r="E41" i="14" s="1"/>
  <c r="F27" i="14"/>
  <c r="G26" i="14"/>
  <c r="H109" i="14"/>
  <c r="G113" i="14"/>
  <c r="G82" i="14"/>
  <c r="F66" i="18"/>
  <c r="H66" i="18" s="1"/>
  <c r="G109" i="14"/>
  <c r="G118" i="14"/>
  <c r="E107" i="14"/>
  <c r="H107" i="14" s="1"/>
  <c r="H106" i="14"/>
  <c r="G43" i="19"/>
  <c r="H78" i="2"/>
  <c r="G78" i="2"/>
  <c r="G18" i="2"/>
  <c r="H18" i="2"/>
  <c r="H79" i="2"/>
  <c r="G79" i="2"/>
  <c r="E123" i="14"/>
  <c r="F49" i="14"/>
  <c r="G49" i="14" s="1"/>
  <c r="C33" i="14"/>
  <c r="C70" i="2"/>
  <c r="E50" i="14"/>
  <c r="F50" i="14"/>
  <c r="C27" i="14"/>
  <c r="C85" i="25" s="1"/>
  <c r="F85" i="25" s="1"/>
  <c r="G85" i="25" s="1"/>
  <c r="C50" i="14"/>
  <c r="G107" i="14" l="1"/>
  <c r="D86" i="25"/>
  <c r="H86" i="25" s="1"/>
  <c r="I86" i="25" s="1"/>
  <c r="D87" i="25"/>
  <c r="D46" i="14"/>
  <c r="E87" i="25"/>
  <c r="H87" i="25" s="1"/>
  <c r="H27" i="14"/>
  <c r="G7" i="11"/>
  <c r="C32" i="14"/>
  <c r="D7" i="11"/>
  <c r="D13" i="11"/>
  <c r="D8" i="11"/>
  <c r="C34" i="14"/>
  <c r="H49" i="14"/>
  <c r="G27" i="14"/>
  <c r="F32" i="14"/>
  <c r="H32" i="14" s="1"/>
  <c r="G50" i="14"/>
  <c r="H50" i="14"/>
  <c r="D66" i="14"/>
  <c r="F66" i="14"/>
  <c r="F68" i="18"/>
  <c r="C75" i="2"/>
  <c r="C17" i="19" s="1"/>
  <c r="H59" i="2"/>
  <c r="G59" i="2"/>
  <c r="G70" i="2"/>
  <c r="H70" i="2"/>
  <c r="AD72" i="9"/>
  <c r="F123" i="14"/>
  <c r="G123" i="14" s="1"/>
  <c r="E11" i="11" l="1"/>
  <c r="D87" i="14" s="1"/>
  <c r="E10" i="11"/>
  <c r="D89" i="14" s="1"/>
  <c r="E9" i="11"/>
  <c r="D88" i="14" s="1"/>
  <c r="H66" i="14"/>
  <c r="F72" i="14"/>
  <c r="C41" i="14"/>
  <c r="C86" i="25"/>
  <c r="F86" i="25" s="1"/>
  <c r="G86" i="25" s="1"/>
  <c r="H123" i="14"/>
  <c r="F41" i="14"/>
  <c r="H41" i="14" s="1"/>
  <c r="G32" i="14"/>
  <c r="E46" i="14"/>
  <c r="G66" i="14"/>
  <c r="H34" i="18"/>
  <c r="G34" i="18"/>
  <c r="C77" i="2"/>
  <c r="C48" i="14" s="1"/>
  <c r="C90" i="25" s="1"/>
  <c r="C76" i="2"/>
  <c r="C47" i="14" s="1"/>
  <c r="H82" i="2"/>
  <c r="G82" i="2"/>
  <c r="H75" i="2"/>
  <c r="G75" i="2"/>
  <c r="D33" i="14"/>
  <c r="E33" i="14"/>
  <c r="D17" i="19"/>
  <c r="E17" i="19"/>
  <c r="F11" i="11" l="1"/>
  <c r="E87" i="14" s="1"/>
  <c r="F10" i="11"/>
  <c r="E89" i="14" s="1"/>
  <c r="F9" i="11"/>
  <c r="E88" i="14" s="1"/>
  <c r="F90" i="25"/>
  <c r="G90" i="25" s="1"/>
  <c r="C88" i="25"/>
  <c r="F88" i="25" s="1"/>
  <c r="G88" i="25" s="1"/>
  <c r="C46" i="14"/>
  <c r="C87" i="25"/>
  <c r="F87" i="25" s="1"/>
  <c r="G87" i="25" s="1"/>
  <c r="E13" i="11"/>
  <c r="E8" i="11"/>
  <c r="D34" i="14"/>
  <c r="F8" i="11"/>
  <c r="E34" i="14"/>
  <c r="F46" i="14"/>
  <c r="G41" i="14"/>
  <c r="H46" i="14"/>
  <c r="F13" i="11"/>
  <c r="F17" i="19"/>
  <c r="F33" i="14"/>
  <c r="G10" i="11" l="1"/>
  <c r="F89" i="14" s="1"/>
  <c r="G89" i="14" s="1"/>
  <c r="G9" i="11"/>
  <c r="F88" i="14" s="1"/>
  <c r="G88" i="14" s="1"/>
  <c r="D11" i="11"/>
  <c r="C87" i="14" s="1"/>
  <c r="D9" i="11"/>
  <c r="C88" i="14" s="1"/>
  <c r="D10" i="11"/>
  <c r="C89" i="14" s="1"/>
  <c r="G46" i="14"/>
  <c r="G11" i="11"/>
  <c r="F87" i="14" s="1"/>
  <c r="G13" i="11"/>
  <c r="F34" i="14"/>
  <c r="H34" i="14" s="1"/>
  <c r="G8" i="11"/>
  <c r="H33" i="14"/>
  <c r="G33" i="14"/>
  <c r="G66" i="18"/>
  <c r="G34" i="14" l="1"/>
  <c r="H88" i="14"/>
  <c r="H89" i="14"/>
  <c r="H87" i="14"/>
  <c r="G87" i="14"/>
  <c r="AC70" i="9"/>
  <c r="AF70" i="9" s="1"/>
  <c r="X70" i="9"/>
  <c r="X69" i="9"/>
  <c r="AC68" i="9"/>
  <c r="AF68" i="9" s="1"/>
  <c r="X68" i="9"/>
  <c r="X71" i="9"/>
  <c r="X67" i="9"/>
  <c r="X66" i="9"/>
  <c r="AC69" i="9"/>
  <c r="AE69" i="9" s="1"/>
  <c r="W68" i="9"/>
  <c r="X65" i="9"/>
  <c r="AC65" i="9"/>
  <c r="AE65" i="9" s="1"/>
  <c r="W65" i="9"/>
  <c r="AC66" i="9"/>
  <c r="AF66" i="9" s="1"/>
  <c r="W66" i="9"/>
  <c r="W70" i="9"/>
  <c r="W67" i="9"/>
  <c r="AC67" i="9"/>
  <c r="AF67" i="9" s="1"/>
  <c r="W69" i="9"/>
  <c r="AE66" i="9" l="1"/>
  <c r="AF65" i="9"/>
  <c r="AE68" i="9"/>
  <c r="AE67" i="9"/>
  <c r="W71" i="9"/>
  <c r="AE70" i="9"/>
  <c r="AF69" i="9"/>
  <c r="E84" i="14"/>
  <c r="H84" i="14" l="1"/>
  <c r="G84" i="14"/>
  <c r="E81" i="14"/>
  <c r="U72" i="9"/>
  <c r="AF71" i="9"/>
  <c r="Q72" i="9"/>
  <c r="Y72" i="9"/>
  <c r="AE71" i="9"/>
  <c r="M72" i="9"/>
  <c r="AC72" i="9" l="1"/>
  <c r="H81" i="14"/>
  <c r="G81" i="14"/>
  <c r="E40" i="18"/>
  <c r="G40" i="18" l="1"/>
  <c r="E36" i="18"/>
  <c r="H40" i="18"/>
  <c r="D40" i="18"/>
  <c r="D36" i="18" s="1"/>
  <c r="D52" i="18" s="1"/>
  <c r="D65" i="18" l="1"/>
  <c r="D68" i="18" s="1"/>
  <c r="D69" i="14"/>
  <c r="D72" i="14" s="1"/>
  <c r="H36" i="18"/>
  <c r="G36" i="18"/>
  <c r="E52" i="18"/>
  <c r="G52" i="18" l="1"/>
  <c r="E69" i="14"/>
  <c r="E72" i="14" s="1"/>
  <c r="E65" i="18"/>
  <c r="E68" i="18" s="1"/>
  <c r="H52" i="18"/>
  <c r="G69" i="14" l="1"/>
  <c r="H69" i="14"/>
  <c r="G65" i="18"/>
  <c r="H68" i="18"/>
  <c r="G68" i="18" l="1"/>
  <c r="G72" i="14"/>
  <c r="H72" i="14"/>
</calcChain>
</file>

<file path=xl/comments1.xml><?xml version="1.0" encoding="utf-8"?>
<comments xmlns="http://schemas.openxmlformats.org/spreadsheetml/2006/main">
  <authors>
    <author>Драчук Ира</author>
  </authors>
  <commentList>
    <comment ref="B50" authorId="0" shapeId="0">
      <text>
        <r>
          <rPr>
            <b/>
            <sz val="9"/>
            <color indexed="81"/>
            <rFont val="Tahoma"/>
            <family val="2"/>
            <charset val="204"/>
          </rPr>
          <t>+вивіз сміття</t>
        </r>
      </text>
    </comment>
  </commentList>
</comments>
</file>

<file path=xl/sharedStrings.xml><?xml version="1.0" encoding="utf-8"?>
<sst xmlns="http://schemas.openxmlformats.org/spreadsheetml/2006/main" count="1363" uniqueCount="818">
  <si>
    <t>Код рядка</t>
  </si>
  <si>
    <t>капітальне будівництво</t>
  </si>
  <si>
    <t>придбання (виготовлення) основних засобів</t>
  </si>
  <si>
    <t>придбання (створення) нематеріальних активів</t>
  </si>
  <si>
    <t>Фінансовий результат від операційної діяльності</t>
  </si>
  <si>
    <t>Витрати на оплату праці</t>
  </si>
  <si>
    <t>Відрахування на соціальні заходи</t>
  </si>
  <si>
    <t>Амортизація</t>
  </si>
  <si>
    <t>за ЗКГНГ</t>
  </si>
  <si>
    <t>за СПОДУ</t>
  </si>
  <si>
    <t xml:space="preserve">за  КВЕД  </t>
  </si>
  <si>
    <t xml:space="preserve">Місцезнаходження  </t>
  </si>
  <si>
    <t xml:space="preserve">Телефон </t>
  </si>
  <si>
    <t xml:space="preserve">Прізвище та ініціали керівника  </t>
  </si>
  <si>
    <t xml:space="preserve">Підприємство  </t>
  </si>
  <si>
    <t xml:space="preserve">Організаційно-правова форма </t>
  </si>
  <si>
    <t xml:space="preserve">Вид економічної діяльності    </t>
  </si>
  <si>
    <t xml:space="preserve">Галузь     </t>
  </si>
  <si>
    <t xml:space="preserve">Код рядка </t>
  </si>
  <si>
    <t>Усього доходів</t>
  </si>
  <si>
    <t>Територія</t>
  </si>
  <si>
    <t>Форма власності</t>
  </si>
  <si>
    <t>витрати на аудиторські послуги</t>
  </si>
  <si>
    <t>Валовий прибуток (збиток)</t>
  </si>
  <si>
    <t xml:space="preserve">прибуток </t>
  </si>
  <si>
    <t>збиток</t>
  </si>
  <si>
    <t>Резервний фонд</t>
  </si>
  <si>
    <t>Інші операційні витрати</t>
  </si>
  <si>
    <t>придбання (виготовлення) інших необоротних матеріальних активів</t>
  </si>
  <si>
    <t>Чистий грошовий потік</t>
  </si>
  <si>
    <t>Забезпечення</t>
  </si>
  <si>
    <t>х</t>
  </si>
  <si>
    <t>витрати на службові відрядження</t>
  </si>
  <si>
    <t>витрати на зв’язок</t>
  </si>
  <si>
    <t>витрати на оплату праці</t>
  </si>
  <si>
    <t>відрахування на соціальні заходи</t>
  </si>
  <si>
    <t>амортизація основних засобів і нематеріальних активів загальногосподарського призначення</t>
  </si>
  <si>
    <t>витрати на операційну оренду основних засобів та роялті, що мають загальногосподарське призначення</t>
  </si>
  <si>
    <t>витрати на страхування майна загальногосподарського призначення</t>
  </si>
  <si>
    <t>витрати на страхування загальногосподарського персоналу</t>
  </si>
  <si>
    <t xml:space="preserve">організаційно-технічні послуги </t>
  </si>
  <si>
    <t>юридичні послуги</t>
  </si>
  <si>
    <t>послуги з оцінки майна</t>
  </si>
  <si>
    <t>витрати на охорону праці загальногосподарського персоналу</t>
  </si>
  <si>
    <t xml:space="preserve">витрати на підвищення кваліфікації та перепідготовку кадрів </t>
  </si>
  <si>
    <t>витрати на поліпшення основних фондів</t>
  </si>
  <si>
    <t>відрахування до резерву сумнівних боргів</t>
  </si>
  <si>
    <t>№ з/п</t>
  </si>
  <si>
    <t xml:space="preserve">Надходження від продажу акцій та облігацій </t>
  </si>
  <si>
    <t>Залучення кредитних коштів</t>
  </si>
  <si>
    <t>Усього</t>
  </si>
  <si>
    <t>Відсоток</t>
  </si>
  <si>
    <t>Залишок нерозподіленого прибутку (непокритого збитку) на початок звітного періоду</t>
  </si>
  <si>
    <t>Залишок нерозподіленого прибутку (непокритого збитку) на кінець звітного періоду</t>
  </si>
  <si>
    <t>відрахування до недержавних пенсійних фондів</t>
  </si>
  <si>
    <t>амортизація основних засобів і нематеріальних активів</t>
  </si>
  <si>
    <t>консультаційні та інформаційні послуги</t>
  </si>
  <si>
    <t>Зобов'язання</t>
  </si>
  <si>
    <t xml:space="preserve">Сума, валюта за договорами </t>
  </si>
  <si>
    <t>Процентна ставка</t>
  </si>
  <si>
    <t>модернізація, модифікація (добудова, дообладнання, реконструкція) основних засобів</t>
  </si>
  <si>
    <t>Розвиток виробництва</t>
  </si>
  <si>
    <t>витрати на благодійну допомогу</t>
  </si>
  <si>
    <t xml:space="preserve">Вид кредитного продукту та цільове призначення </t>
  </si>
  <si>
    <t>витрати на утримання основних фондів, інших необоротних активів загальногосподарського використання,  у тому числі:</t>
  </si>
  <si>
    <t>(посада)</t>
  </si>
  <si>
    <t>(підпис)</t>
  </si>
  <si>
    <t>витрати на рекламу</t>
  </si>
  <si>
    <t>Інші операційні витрати, усього, у тому числі:</t>
  </si>
  <si>
    <t>Капітальні інвестиції, усього,
у тому числі:</t>
  </si>
  <si>
    <t>податок на доходи фізичних осіб</t>
  </si>
  <si>
    <t>акцизний податок</t>
  </si>
  <si>
    <t>Бюджетне фінансування</t>
  </si>
  <si>
    <t>Дата видачі / погашення (графік)</t>
  </si>
  <si>
    <t>Фінансовий результат до оподаткування</t>
  </si>
  <si>
    <t>І. Формування фінансових результатів</t>
  </si>
  <si>
    <t>Оптимальне значення</t>
  </si>
  <si>
    <t xml:space="preserve">         (ініціали, прізвище)    </t>
  </si>
  <si>
    <t>у тому числі:</t>
  </si>
  <si>
    <t>рентна плата за транспортування</t>
  </si>
  <si>
    <t>_____________________________</t>
  </si>
  <si>
    <t>Середньооблікова кількість штатних працівників</t>
  </si>
  <si>
    <t>витрати, пов'язані з використанням власних службових автомобілів</t>
  </si>
  <si>
    <t>Дохід від участі в капіталі (розшифрувати)</t>
  </si>
  <si>
    <t>Інші фінансові доходи (розшифрувати)</t>
  </si>
  <si>
    <t>інші адміністративні витрати (розшифрувати)</t>
  </si>
  <si>
    <t>Фінансові витрати (розшифрувати)</t>
  </si>
  <si>
    <t>Втрати від участі в капіталі (розшифрувати)</t>
  </si>
  <si>
    <t>Інші фонди (розшифрувати)</t>
  </si>
  <si>
    <t>Усього витрат</t>
  </si>
  <si>
    <t>Інформація</t>
  </si>
  <si>
    <t>інші витрати (розшифрувати)</t>
  </si>
  <si>
    <t>Найменування  банку</t>
  </si>
  <si>
    <t>за КОАТУУ</t>
  </si>
  <si>
    <t>за КОПФГ</t>
  </si>
  <si>
    <t xml:space="preserve">за ЄДРПОУ </t>
  </si>
  <si>
    <t>у тому числі за основними видами діяльності за КВЕД</t>
  </si>
  <si>
    <t>погашення реструктуризованих та відстрочених сум, що підлягають сплаті в поточному році до бюджетів та державних цільових фондів</t>
  </si>
  <si>
    <t>Рік</t>
  </si>
  <si>
    <t>Витрати на збут</t>
  </si>
  <si>
    <t>EBITDA</t>
  </si>
  <si>
    <t>Власний капітал</t>
  </si>
  <si>
    <t>Розподіл чистого прибутку</t>
  </si>
  <si>
    <t>IІ. Розрахунки з бюджетом</t>
  </si>
  <si>
    <t>Чистий рух коштів від інвестиційної діяльності </t>
  </si>
  <si>
    <t>Чистий рух коштів від фінансової діяльності </t>
  </si>
  <si>
    <t>Розрахунок показника EBITDA</t>
  </si>
  <si>
    <t xml:space="preserve">Вплив зміни валютних курсів на залишок коштів </t>
  </si>
  <si>
    <t>Довгострокові зобов'язання і забезпечення</t>
  </si>
  <si>
    <t>Поточні зобов'язання і забезпечення</t>
  </si>
  <si>
    <t>Собівартість реалізованої продукції (товарів, робіт, послуг)</t>
  </si>
  <si>
    <t>&gt; 1</t>
  </si>
  <si>
    <t>транспортні витрати</t>
  </si>
  <si>
    <t>витрати на зберігання та упаковку</t>
  </si>
  <si>
    <t>Коефіцієнти рентабельності та прибутковості</t>
  </si>
  <si>
    <t>Аналіз капітальних інвестицій</t>
  </si>
  <si>
    <t>Коефіцієнти фінансової стійкості та ліквідності</t>
  </si>
  <si>
    <t>Перенесено з додаткового капіталу</t>
  </si>
  <si>
    <t>Марка</t>
  </si>
  <si>
    <t>Витрати, усього</t>
  </si>
  <si>
    <t>Договір</t>
  </si>
  <si>
    <t>Основні фінансові показники</t>
  </si>
  <si>
    <t>Чистий дохід від реалізації продукції (товарів, робіт, послуг)</t>
  </si>
  <si>
    <t>витрати на оренду службових автомобілів</t>
  </si>
  <si>
    <t>Загальна кошторисна вартість</t>
  </si>
  <si>
    <t xml:space="preserve">IV. Капітальні інвестиції </t>
  </si>
  <si>
    <t>V. Коефіцієнтний аналіз</t>
  </si>
  <si>
    <t>курсові різниці</t>
  </si>
  <si>
    <t>4010</t>
  </si>
  <si>
    <t>Адміністративні витрати, у тому числі:</t>
  </si>
  <si>
    <t>Витрати на збут, у тому числі:</t>
  </si>
  <si>
    <t>Рентабельність EBITDA</t>
  </si>
  <si>
    <t>Коефіцієнт фінансової стійкості</t>
  </si>
  <si>
    <t>Елементи операційних витрат</t>
  </si>
  <si>
    <t>Факт наростаючим підсумком з початку року</t>
  </si>
  <si>
    <t>ЗВІТ</t>
  </si>
  <si>
    <t xml:space="preserve">чистий дохід  від реалізації продукції (товарів, робіт, послуг) </t>
  </si>
  <si>
    <t xml:space="preserve">кількість продукції/     наданих послуг </t>
  </si>
  <si>
    <t>план</t>
  </si>
  <si>
    <t>факт</t>
  </si>
  <si>
    <t>Найменування об’єкта</t>
  </si>
  <si>
    <t>інші операційні витрати (розшифрувати)</t>
  </si>
  <si>
    <t>Неконтрольована частка</t>
  </si>
  <si>
    <t xml:space="preserve">план </t>
  </si>
  <si>
    <t>Валовий прибуток/збиток</t>
  </si>
  <si>
    <t>Усього активи</t>
  </si>
  <si>
    <t>Усього зобов'язання і забезпечення</t>
  </si>
  <si>
    <t>Доходи і витрати (деталізація)</t>
  </si>
  <si>
    <t xml:space="preserve">пояснення та обґрунтування відхилення від запланованого рівня доходів/витрат                               </t>
  </si>
  <si>
    <t>відхилення,  +/–</t>
  </si>
  <si>
    <t>виконання, %</t>
  </si>
  <si>
    <t>Фінансовий результат від операційної діяльності, рядок 1100</t>
  </si>
  <si>
    <t>Найменування показника</t>
  </si>
  <si>
    <t>Відхилення,  +/–</t>
  </si>
  <si>
    <t>Виконання, %</t>
  </si>
  <si>
    <t>адміністративно-управлінський персонал</t>
  </si>
  <si>
    <t>директор</t>
  </si>
  <si>
    <t>працівники</t>
  </si>
  <si>
    <t>__________________________________________________</t>
  </si>
  <si>
    <t>освоєння капітальних вкладень</t>
  </si>
  <si>
    <t>власні кошти</t>
  </si>
  <si>
    <t>кредитні кошти</t>
  </si>
  <si>
    <t>фінансування капітальних інвестицій (оплата грошовими коштами), усього</t>
  </si>
  <si>
    <t xml:space="preserve">у тому числі </t>
  </si>
  <si>
    <t>Власні кошти (розшифрувати)</t>
  </si>
  <si>
    <t xml:space="preserve">Довгострокові зобов'язання, усього </t>
  </si>
  <si>
    <t>Короткострокові зобов'язання, усього</t>
  </si>
  <si>
    <t>Інші фінансові зобов'язання, усього</t>
  </si>
  <si>
    <t>кількість продукції/             наданих послуг, одиниця виміру</t>
  </si>
  <si>
    <t>Примітки</t>
  </si>
  <si>
    <t xml:space="preserve">      Загальна інформація про підприємство (резюме)</t>
  </si>
  <si>
    <t xml:space="preserve">(ініціали, прізвище)    </t>
  </si>
  <si>
    <t>Ковенанти/обмежувальні коефіцієнти</t>
  </si>
  <si>
    <t xml:space="preserve">Найменування об’єкта </t>
  </si>
  <si>
    <t>Інформація щодо проектно-кошторисної документації (стан розроблення, затвердження, у разі затвердження зазначити орган, яким затверджено, та відповідний документ)</t>
  </si>
  <si>
    <t>Рік початку        і закінчення будівництва</t>
  </si>
  <si>
    <t>Збільшення</t>
  </si>
  <si>
    <t>Характеризує ефективність використання активів підприємства</t>
  </si>
  <si>
    <t>Характеризує ефективність господарської діяльності підприємства</t>
  </si>
  <si>
    <t>Характеризує співвідношення власних та позикових коштів і залежність підприємства від зовнішніх фінансових джерел</t>
  </si>
  <si>
    <t>Характеризує інвестиційну політику підприємства</t>
  </si>
  <si>
    <t>Показує достатність ресурсів підприємства, які може бути використано для погашення його поточних зобов'язань.  Нормативним значенням для цього показника є &gt; 1–1,5</t>
  </si>
  <si>
    <t>Мета використання</t>
  </si>
  <si>
    <t>Інші коефіцієнти/ковенанти, якщо такі передбачені умовами кредитних договорів, із зазначенням банку, валюти та суми зобов'язання на дату останньої звітності, строку погашення. У графі "Оптимальне значення" вказати граничне значення коефіцієнта</t>
  </si>
  <si>
    <t>(    )</t>
  </si>
  <si>
    <t>зміна ціни одиниці  (вартості продукції/     наданих послуг)</t>
  </si>
  <si>
    <t>Дохід від участі в капіталі</t>
  </si>
  <si>
    <t>Втрати від участі в капіталі</t>
  </si>
  <si>
    <t>Інші фінансові доходи</t>
  </si>
  <si>
    <t>Фінансові витрати</t>
  </si>
  <si>
    <t>Капітальні інвестиції, усього, у тому числі:</t>
  </si>
  <si>
    <t>Джерела капітальних інвестицій, усього, у тому числі:</t>
  </si>
  <si>
    <t>4000/1</t>
  </si>
  <si>
    <t>4000/2</t>
  </si>
  <si>
    <t>4000/3</t>
  </si>
  <si>
    <t>4000/4</t>
  </si>
  <si>
    <t>Витрати з податку на прибуток</t>
  </si>
  <si>
    <t>Дохід з податку на прибуток</t>
  </si>
  <si>
    <t xml:space="preserve">Прибуток від припиненої діяльності після оподаткування </t>
  </si>
  <si>
    <t xml:space="preserve">Збиток від припиненої діяльності після оподаткування </t>
  </si>
  <si>
    <t>капітальний ремонт</t>
  </si>
  <si>
    <t>Інші операційні доходи, усього, у тому числі:</t>
  </si>
  <si>
    <t>інші операційні доходи (розшифрувати)</t>
  </si>
  <si>
    <t>Інші доходи, усього, у тому числі:</t>
  </si>
  <si>
    <t>інші доходи (розшифрувати)</t>
  </si>
  <si>
    <t>Інші витрати, усього, у тому числі:</t>
  </si>
  <si>
    <t>Нараховані до сплати відрахування частини чистого прибутку, усього, у тому числі:</t>
  </si>
  <si>
    <t xml:space="preserve">Надходження грошових коштів від операційної діяльності </t>
  </si>
  <si>
    <t>Надходження авансів від покупців і замовників</t>
  </si>
  <si>
    <t xml:space="preserve">Надходження грошових коштів від інвестиційної діяльності </t>
  </si>
  <si>
    <t xml:space="preserve">Надходження грошових коштів від фінансової діяльності </t>
  </si>
  <si>
    <t xml:space="preserve">Розрахунки за продукцію (товари, роботи та послуги) </t>
  </si>
  <si>
    <t xml:space="preserve">Розрахунки з оплати праці </t>
  </si>
  <si>
    <t>податок на прибуток підприємств</t>
  </si>
  <si>
    <t>податок на додану вартість</t>
  </si>
  <si>
    <t>Видатки грошових коштів від операційної діяльності</t>
  </si>
  <si>
    <t xml:space="preserve">Видатки грошових коштів від інвестиційної діяльності </t>
  </si>
  <si>
    <t xml:space="preserve">Видатки грошових коштів від фінансової діяльності </t>
  </si>
  <si>
    <t xml:space="preserve">      1. Дані про підприємство, персонал та витрати на оплату праці</t>
  </si>
  <si>
    <t>Чистий фінансовий результат, у тому числі:</t>
  </si>
  <si>
    <t>ІІІ. Рух грошових коштів (за прямим методом)</t>
  </si>
  <si>
    <t>Повернення податків і зборів, у тому числі:</t>
  </si>
  <si>
    <t>податку на додану вартість</t>
  </si>
  <si>
    <t>Зобов’язання з податків, зборів та інших обов’язкових платежів, у тому числі:</t>
  </si>
  <si>
    <t>Виручка від реалізації фінансових інвестицій</t>
  </si>
  <si>
    <t xml:space="preserve">Виручка від реалізації необоротних активів </t>
  </si>
  <si>
    <t>Надходження від власного капіталу</t>
  </si>
  <si>
    <t>Витрачання на викуп власних акцій</t>
  </si>
  <si>
    <t>Чистий рух коштів від операційної діяльності</t>
  </si>
  <si>
    <t>нетипові операційні доходи (розшифрувати)</t>
  </si>
  <si>
    <t>Чистий фінансовий результат</t>
  </si>
  <si>
    <t>І. Рух коштів у результаті операційної діяльності</t>
  </si>
  <si>
    <t>II. Рух коштів у результаті інвестиційної діяльності</t>
  </si>
  <si>
    <t>III. Рух коштів у результаті фінансової діяльності</t>
  </si>
  <si>
    <t>Залишок коштів на початок періоду</t>
  </si>
  <si>
    <t>Залишок коштів на кінець періоду</t>
  </si>
  <si>
    <t>Чистий рух коштів від фінансової діяльності</t>
  </si>
  <si>
    <t>IІІ. Рух грошових коштів</t>
  </si>
  <si>
    <t>ІV. Капітальні інвестиції</t>
  </si>
  <si>
    <t>VI. Звіт про фінансовий стан</t>
  </si>
  <si>
    <t>VІI. Кредитна політика</t>
  </si>
  <si>
    <t>7000</t>
  </si>
  <si>
    <t>7010</t>
  </si>
  <si>
    <t>7001</t>
  </si>
  <si>
    <t>7002</t>
  </si>
  <si>
    <t>7003</t>
  </si>
  <si>
    <t>7011</t>
  </si>
  <si>
    <t>7012</t>
  </si>
  <si>
    <t>7013</t>
  </si>
  <si>
    <t>VIII. Дані про персонал та витрати на оплату праці</t>
  </si>
  <si>
    <t>8000</t>
  </si>
  <si>
    <t>8001</t>
  </si>
  <si>
    <t>8002</t>
  </si>
  <si>
    <t>8003</t>
  </si>
  <si>
    <t>8010</t>
  </si>
  <si>
    <t>8020</t>
  </si>
  <si>
    <t>8021</t>
  </si>
  <si>
    <t>8022</t>
  </si>
  <si>
    <t>8023</t>
  </si>
  <si>
    <t>Необоротні активи, усього, у тому числі:</t>
  </si>
  <si>
    <t>Основні засоби</t>
  </si>
  <si>
    <t>первісна вартість</t>
  </si>
  <si>
    <t>знос</t>
  </si>
  <si>
    <t>Оборотні активи, усього, у тому числі:</t>
  </si>
  <si>
    <t>Зменшення</t>
  </si>
  <si>
    <t>Рентабельність діяльності</t>
  </si>
  <si>
    <t>Рентабельність активів</t>
  </si>
  <si>
    <t>Рентабельність власного капіталу</t>
  </si>
  <si>
    <t>Коефіцієнт зносу основних засобів</t>
  </si>
  <si>
    <t>плюс амортизація, рядок 1430</t>
  </si>
  <si>
    <t>мінус операційні доходи від курсових різниць, рядок 1071</t>
  </si>
  <si>
    <t>плюс операційні витрати від курсових різниць, рядок 1081</t>
  </si>
  <si>
    <t>мінус значні нетипові операційні доходи, рядок 1072</t>
  </si>
  <si>
    <t>плюс значні нетипові операційні витрати, рядок 1082</t>
  </si>
  <si>
    <t>Факт наростаючим підсумком
з початку року</t>
  </si>
  <si>
    <t>Факт наростаючим підсумком 
з початку року</t>
  </si>
  <si>
    <t>Первісна балансова вартість введених потужностей на початок звітного періоду</t>
  </si>
  <si>
    <t>Незавершене будівництво на початок звітного періоду</t>
  </si>
  <si>
    <t>Дата
початку
оренди</t>
  </si>
  <si>
    <t>Документ, яким затверджений титул будови,
із зазначенням органу, який його погодив</t>
  </si>
  <si>
    <t>Цільове фінансування</t>
  </si>
  <si>
    <t>Отримано залучених коштів, усього, у тому числі:</t>
  </si>
  <si>
    <t>Повернено залучених коштів, усього, у тому числі: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</si>
  <si>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</si>
  <si>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</si>
  <si>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земельний податок</t>
  </si>
  <si>
    <t>орендна плата</t>
  </si>
  <si>
    <t>митні платежі</t>
  </si>
  <si>
    <t xml:space="preserve">єдиний внесок на загальнообов'язкове державне соціальне страхування                      </t>
  </si>
  <si>
    <t>Погашення податкового боргу, усього, у тому числі:</t>
  </si>
  <si>
    <t>нетипові операційні витрати (розшифрувати)</t>
  </si>
  <si>
    <t>рентна плата за користування надрами</t>
  </si>
  <si>
    <t>залучені кредитні кошти</t>
  </si>
  <si>
    <t>бюджетне фінансування</t>
  </si>
  <si>
    <t>інші джерела</t>
  </si>
  <si>
    <t>довгострокові зобов'язання</t>
  </si>
  <si>
    <t>короткострокові зобов'язання</t>
  </si>
  <si>
    <t>інші фінансові зобов'язання</t>
  </si>
  <si>
    <t>Витрати на сировину та основні матеріали</t>
  </si>
  <si>
    <t>Витрати на електроенергію</t>
  </si>
  <si>
    <t>Витрати, що здійснюються для підтримання об’єкта в робочому стані (проведення ремонту, технічного огляду, нагляду, обслуговування тощо)</t>
  </si>
  <si>
    <t>Амортизація основних засобів і нематеріальних активів</t>
  </si>
  <si>
    <t>Інші витрати (розшифрувати)</t>
  </si>
  <si>
    <t>Цільове фінансування  (розшифрувати)</t>
  </si>
  <si>
    <t>Виручка від реалізації продукції (товарів, робіт, послуг)</t>
  </si>
  <si>
    <t xml:space="preserve">Інші надходження (розшифрувати) </t>
  </si>
  <si>
    <t>Коефіцієнт відношення капітальних інвестицій до амортизації
(капітальні інвестиції, рядок 4000 / амортизація, рядок 1430)</t>
  </si>
  <si>
    <t>Коефіцієнт відношення капітальних інвестицій до чистого доходу від реалізації продукції (товарів, робіт, послуг)
(капітальні інвестиції, рядок 4000 / чистий дохід від реалізації продукції (товарів, робіт, послуг), рядок 1000)</t>
  </si>
  <si>
    <t>Коефіцієнт зносу основних засобів 
(сума зносу, рядок 6003 / первісна вартість основних засобів, рядок 6002)</t>
  </si>
  <si>
    <t>Фонд оплати праці, тис. грн,
у тому числі:</t>
  </si>
  <si>
    <t>Витрати на оплату праці,
тис. грн, у тому числі:</t>
  </si>
  <si>
    <t>чистий дохід  від реалізації продукції (товарів, робіт, послуг),     тис. грн</t>
  </si>
  <si>
    <t>ціна одиниці     (вартість  продукції/     наданих послуг), грн</t>
  </si>
  <si>
    <t>Відхилення,  +/–
(факт звітного періоду /
план звітного періоду)</t>
  </si>
  <si>
    <t>Виконання, %
(факт звітного періоду /
план звітного періоду)</t>
  </si>
  <si>
    <t>тис. грн (без ПДВ)</t>
  </si>
  <si>
    <t xml:space="preserve">Прибуток </t>
  </si>
  <si>
    <t>Збиток</t>
  </si>
  <si>
    <t>Валова рентабельність
(валовий прибуток, рядок 1020 / чистий дохід від реалізації продукції (товарів, робіт, послуг), рядок 1000) х 100, %</t>
  </si>
  <si>
    <t>Рентабельність EBITDA
(EBITDA, рядок 1310 / чистий дохід від реалізації продукції (товарів, робіт, послуг), рядок 1000) х 100, %</t>
  </si>
  <si>
    <t>Рентабельність активів
(чистий фінансовий результат, рядок 1200 / вартість активів, рядок 6020) х 100, %</t>
  </si>
  <si>
    <t>Рентабельність діяльності
(чистий фінансовий результат, рядок 1200 / чистий дохід від реалізації продукції (товарів, робіт, послуг), рядок 1000) х 100, %</t>
  </si>
  <si>
    <t>{Додаток 3 в редакції Наказу Міністерства економічного розвитку і торгівлі № 1394 від 03.11.2015}</t>
  </si>
  <si>
    <t>у тому числі державні гранти і субсидії</t>
  </si>
  <si>
    <t>у тому числі фінансові запозичення</t>
  </si>
  <si>
    <t>Усього пасиви</t>
  </si>
  <si>
    <t>Контроль</t>
  </si>
  <si>
    <t xml:space="preserve">Факт наростаючим підсумком
з початку року </t>
  </si>
  <si>
    <t xml:space="preserve">      2. Інформація про бізнес підприємства (код рядка 1000 фінансового плану)</t>
  </si>
  <si>
    <t xml:space="preserve">      3. Діючі фінансові зобов'язання підприємства</t>
  </si>
  <si>
    <t>Надходження коштів з міського бюджету</t>
  </si>
  <si>
    <t>Направлення коштів на:</t>
  </si>
  <si>
    <t>поповнення обігових коштів (розшифрувати)</t>
  </si>
  <si>
    <t xml:space="preserve">Усього виплат </t>
  </si>
  <si>
    <t>гроші та їх еквіваленти</t>
  </si>
  <si>
    <t xml:space="preserve">      4. Інформація щодо отримання та повернення залучених коштів</t>
  </si>
  <si>
    <t>5. Витрати, пов'язані з використанням власних службових автомобілів (у складі адміністративних витрат, рядок 1031)</t>
  </si>
  <si>
    <t>6. Витрати на оренду службових автомобілів (у складі адміністративних витрат, рядок 1032)</t>
  </si>
  <si>
    <t>8. Капітальне будівництво (рядок 4010 таблиці 4)</t>
  </si>
  <si>
    <t>Таблиця 1</t>
  </si>
  <si>
    <t>Таблиця 2</t>
  </si>
  <si>
    <t>Таблиця 3</t>
  </si>
  <si>
    <t>Таблиця 4</t>
  </si>
  <si>
    <t>Таблиця 5</t>
  </si>
  <si>
    <t>Таблиця 6</t>
  </si>
  <si>
    <t>Продовження таблиці 6</t>
  </si>
  <si>
    <t>Таблиця 7</t>
  </si>
  <si>
    <t>(тис.грн)</t>
  </si>
  <si>
    <t>Адміністративні витрати</t>
  </si>
  <si>
    <t>Інші операційні доходи</t>
  </si>
  <si>
    <t>Інші доходи</t>
  </si>
  <si>
    <t>Інші витрати</t>
  </si>
  <si>
    <t xml:space="preserve">Нараховані до сплати податки, збори та інші обов'язкові платежі </t>
  </si>
  <si>
    <t>Нараховані до сплати податки та збори до Державного бюджету України (податкові платежі), усього, у тому числі:</t>
  </si>
  <si>
    <t>Нараховані до сплати податки та збори до місцевих бюджетів (податкові платежі)</t>
  </si>
  <si>
    <t>Інші податки, збори та платежі на користь держави</t>
  </si>
  <si>
    <t>1048/1</t>
  </si>
  <si>
    <t xml:space="preserve"> (посада)</t>
  </si>
  <si>
    <t xml:space="preserve"> </t>
  </si>
  <si>
    <t>виконання, 
%</t>
  </si>
  <si>
    <t>Нараховані до сплати податки та збори до Державного бюджету України (податкові платежі)</t>
  </si>
  <si>
    <t>військовий збір</t>
  </si>
  <si>
    <t>Нараховані до сплати податки та збори до місцевих бюджетів (податкові платежі), усього, у тому числі:</t>
  </si>
  <si>
    <t>Надходження від відсотків за залишками коштів на поточних рахунках</t>
  </si>
  <si>
    <t>Витрачання на придбання фінансових інвестицій, у тому числі:</t>
  </si>
  <si>
    <t xml:space="preserve">витрачання на придбання акцій та облігацій </t>
  </si>
  <si>
    <t>Витрачання на придбання необоротних активів, у тому числі:</t>
  </si>
  <si>
    <t>модернізація, модифікація (добудова, дообладнання, реконструкція) основних засобів (розшифрувати)</t>
  </si>
  <si>
    <t>капітальний ремонт (розшифрувати)</t>
  </si>
  <si>
    <t>Надходження від отримання позик/кредитів/облігацій/векселів</t>
  </si>
  <si>
    <t>Витрачання на погашення позик</t>
  </si>
  <si>
    <t>Витрачання на сплату дивідендів</t>
  </si>
  <si>
    <t>Витрачання на сплату відсотків за користування позиковим капіталом</t>
  </si>
  <si>
    <r>
      <t>Інші надходження (розшифрувати)</t>
    </r>
    <r>
      <rPr>
        <i/>
        <sz val="16"/>
        <rFont val="Times New Roman"/>
        <family val="1"/>
        <charset val="204"/>
      </rPr>
      <t xml:space="preserve"> </t>
    </r>
  </si>
  <si>
    <t>капітальне будівництво (розшифрувати)</t>
  </si>
  <si>
    <r>
      <t>придбання (створення) нематеріальних активів (розшифрувати)</t>
    </r>
    <r>
      <rPr>
        <i/>
        <sz val="16"/>
        <rFont val="Times New Roman"/>
        <family val="1"/>
        <charset val="204"/>
      </rPr>
      <t xml:space="preserve"> </t>
    </r>
  </si>
  <si>
    <t xml:space="preserve">Факт наростаючим підсумком 
з початку року </t>
  </si>
  <si>
    <t>Рентабельність власного капіталу
(чистий фінансовий результат, рядок 1200 / власний капітал, рядок 6030) х 100, %</t>
  </si>
  <si>
    <t>Коефіцієнт відношення боргу до EBITDA
(довгострокові зобов'язання, рядок 6040 + поточні зобов'язання, рядок 6050) / EBITDA, рядок 1310</t>
  </si>
  <si>
    <t>Коефіцієнт фінансової стійкості
(власний капітал, рядок 6030 / (довгострокові зобов'язання, рядок 6040 + поточні зобов'язання, рядок 6050))</t>
  </si>
  <si>
    <t>Коефіцієнт поточної ліквідності (покриття)
(оборотні активи, рядок 6010 / поточні зобов'язання, рядок 6050)</t>
  </si>
  <si>
    <r>
      <t xml:space="preserve">Середня кількість працівників </t>
    </r>
    <r>
      <rPr>
        <sz val="16"/>
        <rFont val="Times New Roman"/>
        <family val="1"/>
        <charset val="204"/>
      </rPr>
      <t>(штатних
працівників, зовнішніх сумісників та працівників,
що працюють за цивільно-правовими договорами)</t>
    </r>
    <r>
      <rPr>
        <b/>
        <sz val="16"/>
        <rFont val="Times New Roman"/>
        <family val="1"/>
        <charset val="204"/>
      </rPr>
      <t>,
у тому числі:</t>
    </r>
  </si>
  <si>
    <t>Середньомісячні витрати на оплату праці 
одного працівника (грн), усього,
у тому числі:</t>
  </si>
  <si>
    <t>Найменування видів діяльності</t>
  </si>
  <si>
    <r>
      <t>у тому числі:</t>
    </r>
    <r>
      <rPr>
        <i/>
        <sz val="16"/>
        <rFont val="Times New Roman"/>
        <family val="1"/>
        <charset val="204"/>
      </rPr>
      <t xml:space="preserve"> </t>
    </r>
  </si>
  <si>
    <t>IV. Розподіл коштів, отриманих з  бюджету на поповнення статутного капіталу</t>
  </si>
  <si>
    <t xml:space="preserve">Факт наростаючим підсумком </t>
  </si>
  <si>
    <t>Надходження грошових коштів від операційної діяльності</t>
  </si>
  <si>
    <t>Інші надходження, усього, у тому числі:</t>
  </si>
  <si>
    <t>Інші платежі, усього, у тому числі:</t>
  </si>
  <si>
    <t>капітальне будівництво, усього, у тому числі:</t>
  </si>
  <si>
    <t>придбання (створення) нематеріальних активів, усього, у тому числі:</t>
  </si>
  <si>
    <t>Поповнення статутного капіталу підприємства, усього, у тому числі:</t>
  </si>
  <si>
    <t xml:space="preserve">придбання на оновлення необоротних активів </t>
  </si>
  <si>
    <t xml:space="preserve">Усього нарахованих виплат </t>
  </si>
  <si>
    <t>Нараховані до сплати інші податки, збори та платежі, усього, у тому числі:</t>
  </si>
  <si>
    <t>єдиний внесок на загальнообов'язкове державне соціальне страхування</t>
  </si>
  <si>
    <t>Розшифровка до Таблиці 1 "Формування фінансових результатів"</t>
  </si>
  <si>
    <t>Розшифровка до Таблиці 3 "Рух грошових коштів (за прямим методом)"</t>
  </si>
  <si>
    <t xml:space="preserve">Розшифровка до Таблиці 4 "Капітальні інвестиції" </t>
  </si>
  <si>
    <t>Розшифровка до Таблиці 7 "Розподіл коштів, отриманих з  бюджету на поповнення Статутного капіталу"</t>
  </si>
  <si>
    <r>
      <t xml:space="preserve">Орган державного управління  </t>
    </r>
    <r>
      <rPr>
        <b/>
        <i/>
        <sz val="16"/>
        <rFont val="Times New Roman"/>
        <family val="1"/>
        <charset val="204"/>
      </rPr>
      <t xml:space="preserve"> </t>
    </r>
  </si>
  <si>
    <r>
      <t xml:space="preserve">Середня кількість працівників </t>
    </r>
    <r>
      <rPr>
        <sz val="16"/>
        <color indexed="8"/>
        <rFont val="Times New Roman"/>
        <family val="1"/>
        <charset val="204"/>
      </rPr>
      <t>(штатних працівників, зовнішніх сумісників та працівників, що працюють за цивільно-правовими договорами)</t>
    </r>
    <r>
      <rPr>
        <b/>
        <sz val="16"/>
        <color indexed="8"/>
        <rFont val="Times New Roman"/>
        <family val="1"/>
        <charset val="204"/>
      </rPr>
      <t>, у тому числі:</t>
    </r>
  </si>
  <si>
    <r>
      <t>придбання (виготовлення) основних засобів (розшифрувати)</t>
    </r>
    <r>
      <rPr>
        <i/>
        <sz val="16"/>
        <rFont val="Times New Roman"/>
        <family val="1"/>
        <charset val="204"/>
      </rPr>
      <t xml:space="preserve"> </t>
    </r>
  </si>
  <si>
    <t>Одиниця виміру</t>
  </si>
  <si>
    <t>відхилення,  +/–
(факт звітного періоду /
план звітного періоду)</t>
  </si>
  <si>
    <t>виконання, %
(факт звітного періоду /
план звітного періоду)</t>
  </si>
  <si>
    <t>Надходження від отримання субсидій, дотацій</t>
  </si>
  <si>
    <t>Витрати на паливо (опалення)</t>
  </si>
  <si>
    <t xml:space="preserve">придбання та оновлення необоротних активів </t>
  </si>
  <si>
    <t>Відхилення, (+,-)</t>
  </si>
  <si>
    <t>інші джерела (розшифрувати)</t>
  </si>
  <si>
    <t>Матеріальні витрати</t>
  </si>
  <si>
    <t>Середньомісячні витрати на оплату праці одного працівника (грн), усього, у тому числі:</t>
  </si>
  <si>
    <t>-</t>
  </si>
  <si>
    <t>інші витрати на збут (розшифрувати)</t>
  </si>
  <si>
    <t>відрахування частини чистого прибутку комунальними підприємствами, що є власністю Вінницької міської об'єднаної територіальної громади до бюджету Вінницької міської ТГ</t>
  </si>
  <si>
    <t>комунальними підприємствами, що є власністю Вінницької міської об'єднаної територіальної громади до бюджету Вінницької міської ТГ</t>
  </si>
  <si>
    <t>інші  (штрафи, пені, неустойки) (розшифрувати)</t>
  </si>
  <si>
    <t xml:space="preserve">Інші витрати (розшифрувати) </t>
  </si>
  <si>
    <t>____________________________</t>
  </si>
  <si>
    <t>Виконання,
(%)</t>
  </si>
  <si>
    <t>(тис. грн)</t>
  </si>
  <si>
    <t>тис. грн</t>
  </si>
  <si>
    <t>капітальний ремонт, усього, у тому числі:</t>
  </si>
  <si>
    <t>інші платежі</t>
  </si>
  <si>
    <t>Цільове фінансування, усього, у тому числі:</t>
  </si>
  <si>
    <t>Надходження від повернення авансів</t>
  </si>
  <si>
    <t>Поповнення статутного капіталу підприємства</t>
  </si>
  <si>
    <t>7. Джерела капітальних інвестицій у 2022 році</t>
  </si>
  <si>
    <t>Інші джерела (розшифрувати)</t>
  </si>
  <si>
    <t>ВИТРАТНА ЧАСТИНА</t>
  </si>
  <si>
    <t>Собівартість реалізованої продукції (товарів, робіт, послуг)                                                         "Інші витрати", усього, у тому числі:</t>
  </si>
  <si>
    <t>1018</t>
  </si>
  <si>
    <t>- у сфері інформації</t>
  </si>
  <si>
    <t>- у сфері освіти</t>
  </si>
  <si>
    <t>- фінансове посередництво (страхування майна)</t>
  </si>
  <si>
    <t>- санітарні послуги, прибирання сміття, знищення відходів</t>
  </si>
  <si>
    <t>- по оренді</t>
  </si>
  <si>
    <t>- витрати на відрядження</t>
  </si>
  <si>
    <t>- реклама на трамваях та тролейбусах</t>
  </si>
  <si>
    <t>- автопослуги</t>
  </si>
  <si>
    <t>- медичний предрейсовий контроль</t>
  </si>
  <si>
    <t>- демонтаж новорічної ялинки</t>
  </si>
  <si>
    <t>Ідальні:</t>
  </si>
  <si>
    <t>База відпочинку:</t>
  </si>
  <si>
    <t>- оплата відряджень</t>
  </si>
  <si>
    <t xml:space="preserve">- податок на землю </t>
  </si>
  <si>
    <t>"Інші адміністративні витрати"</t>
  </si>
  <si>
    <t>1049</t>
  </si>
  <si>
    <t xml:space="preserve">Податки: </t>
  </si>
  <si>
    <t>- туристичний збір</t>
  </si>
  <si>
    <t>- податок на землю</t>
  </si>
  <si>
    <t>- екологічний податок</t>
  </si>
  <si>
    <t>- податок на радіочастоти</t>
  </si>
  <si>
    <t>Послуги банка за розрахункове обслуговування</t>
  </si>
  <si>
    <t>"Інші витрати на збут"</t>
  </si>
  <si>
    <t>1067</t>
  </si>
  <si>
    <t>Інші  -   всього:</t>
  </si>
  <si>
    <t>винагорода за реалізацію проїзних</t>
  </si>
  <si>
    <t>"Інші операційні витрати"</t>
  </si>
  <si>
    <t>1086</t>
  </si>
  <si>
    <t>Собівартість реалізованого металобрухту</t>
  </si>
  <si>
    <t>Інформаційні послуги (WiFi, література)</t>
  </si>
  <si>
    <t>Пільгові пенсії</t>
  </si>
  <si>
    <t>Членські внески</t>
  </si>
  <si>
    <t>Матеріальна допомога ветеранам</t>
  </si>
  <si>
    <t>Відрахування з фонду заробітної плати на культурно-масову роботу (0,3%)</t>
  </si>
  <si>
    <t>Ритуальні послуги</t>
  </si>
  <si>
    <t>Послуги автомобільного транспорту</t>
  </si>
  <si>
    <t>Знецінення матеріалів</t>
  </si>
  <si>
    <t>"Фінансові витрати"</t>
  </si>
  <si>
    <t>1140</t>
  </si>
  <si>
    <t>Відсотки за отримані кредити в тому числі:</t>
  </si>
  <si>
    <t>КП "Фонд муніципальних інвестицій"</t>
  </si>
  <si>
    <t>АБ "Укргазбанк"</t>
  </si>
  <si>
    <t>Погашення лізингових платежів в тому числі:</t>
  </si>
  <si>
    <t>ТОВ "ФК" "Муніципальні платіжні системи ""</t>
  </si>
  <si>
    <t>АБ "Укргазбанк" (комісія та відсотки)</t>
  </si>
  <si>
    <t>"Інші витрати"</t>
  </si>
  <si>
    <t>1162</t>
  </si>
  <si>
    <t>Списання необоротних активів</t>
  </si>
  <si>
    <t>Відшкодування втрат після ДТП</t>
  </si>
  <si>
    <t>АТО (паливо.харчування)</t>
  </si>
  <si>
    <t>ДОХІДНА ЧАСТИНА</t>
  </si>
  <si>
    <t>"Інші операційні доходи"</t>
  </si>
  <si>
    <t>1073</t>
  </si>
  <si>
    <t>Дохід від реалізації оборотних активів, від  оприбуткування товарно-матеріальних цінностей</t>
  </si>
  <si>
    <t>Дохід від оренди</t>
  </si>
  <si>
    <t xml:space="preserve">Видатки на оплату фактично виконаних обсягів  пасажироперевезень МЕТ для беззбиткової роботи згідно розрахунків КП ВТК </t>
  </si>
  <si>
    <t>Видатки на оплату фактично виконаних обсягів  пасажироперевезень  пасажирським автомобільним транспортом загального користування згідно розрахунків КП ВТК для беззбиткової роботи</t>
  </si>
  <si>
    <t>Кошти бюджету, в т.ч.:</t>
  </si>
  <si>
    <t>5.1</t>
  </si>
  <si>
    <t>- на компенсацію пільгового проїзду учнів</t>
  </si>
  <si>
    <t>5.2</t>
  </si>
  <si>
    <t>- на компенсацію пільгового проїзду  студентів</t>
  </si>
  <si>
    <t>5.3</t>
  </si>
  <si>
    <t>- на компенсацію за безоплатний  проїзд багатодітних сімей</t>
  </si>
  <si>
    <t>5.4</t>
  </si>
  <si>
    <t>- на оплату фактично виконаних обсягів пасажироперевезень міським електричним транспортом</t>
  </si>
  <si>
    <t>5.5</t>
  </si>
  <si>
    <t xml:space="preserve">- фінансова підтримка-дотація на покриття збитків КП "ВТК" від надання послуг пасажирським автомобільним транспортом загального користування </t>
  </si>
  <si>
    <t>- на оплату фактично виконаних обсягів пасажироперевезень автомобільним транспортом загального користування у звичайному режимі руху</t>
  </si>
  <si>
    <t>5.6</t>
  </si>
  <si>
    <t>- компенсація за пільговий проїзд окремих категорій громадян Вінницької міської територіальної громади міським електротранспортом</t>
  </si>
  <si>
    <t>5.7</t>
  </si>
  <si>
    <t>- компенсація за пільговий проїзд окремих категорій громадян Вінницької міської територіальної громади автобусами загального користування</t>
  </si>
  <si>
    <t>Відшкодування витрат на розвиток виробництва</t>
  </si>
  <si>
    <t>"Інші фінансові доходи"</t>
  </si>
  <si>
    <t>1130</t>
  </si>
  <si>
    <t xml:space="preserve">Відсотки, одержані від банку за користування коштами підприємства </t>
  </si>
  <si>
    <t>"Інші доходи"</t>
  </si>
  <si>
    <t>1152</t>
  </si>
  <si>
    <t>- оприбуткований металобрухт від розборки</t>
  </si>
  <si>
    <t>- амортизація безкоштовно отриманих основних засобів</t>
  </si>
  <si>
    <t>- інші,    в т.ч.</t>
  </si>
  <si>
    <t>- новорічна ялинка</t>
  </si>
  <si>
    <t>- оренда приміщень</t>
  </si>
  <si>
    <t>- відшкодування збитку при ДТП</t>
  </si>
  <si>
    <t>- відшкодування заробітної плати військовослужбовцям</t>
  </si>
  <si>
    <t>- наклейки</t>
  </si>
  <si>
    <t>- дохід від реалізаціі активів</t>
  </si>
  <si>
    <t>- порушення умов тендеру</t>
  </si>
  <si>
    <t>Т.в.о.генерального директора КП"ВТК"</t>
  </si>
  <si>
    <t>Олександр Нечаєв</t>
  </si>
  <si>
    <t>інші податки та збори (екологічний податок)</t>
  </si>
  <si>
    <t>інші податки, збори та платежі (туристичний збір)</t>
  </si>
  <si>
    <t>придбання (виробництво) основних засобів, усього, у тому числі:</t>
  </si>
  <si>
    <t>- будиночки база відпочинку "Луна"</t>
  </si>
  <si>
    <t>- комп'ютер</t>
  </si>
  <si>
    <t>- ноутбук</t>
  </si>
  <si>
    <t>- отримання та адаптація трамвайних вагонів з м.Цюріх - 35 одиниць</t>
  </si>
  <si>
    <t>- паркан</t>
  </si>
  <si>
    <t xml:space="preserve">- принтер </t>
  </si>
  <si>
    <t>- токарно-гвинторізний станок моделі типу 16К20</t>
  </si>
  <si>
    <t>- тролейбус (кузов)</t>
  </si>
  <si>
    <t>модернізація, модифікація (добудова, дообладнання, реконструкція, виробництво) основних засобів, усього, у тому числі:</t>
  </si>
  <si>
    <t>- виробництво тролейбусів з автономним ходом до 20км, 50% вартості</t>
  </si>
  <si>
    <t>програмне забезпечення</t>
  </si>
  <si>
    <t>виробництво тролейбусів з автономним ходом до 20км, 50% вартості</t>
  </si>
  <si>
    <t>отримання та адаптація трамвайних вагонів з м.Цюріх - 35 одиниць</t>
  </si>
  <si>
    <t xml:space="preserve">погашення основних платежів договору кредитування на виробництво тролейбусів з автономним ходом </t>
  </si>
  <si>
    <t>погашення основних платежів договору фінансового лізингу з придбання міських газових автобусів великої місткості (10шт.)</t>
  </si>
  <si>
    <t>поповнення обігових коштів підприємства:</t>
  </si>
  <si>
    <t>3.1</t>
  </si>
  <si>
    <t>3.2</t>
  </si>
  <si>
    <t>- на компенсацію пільгового проїзду студентів</t>
  </si>
  <si>
    <t>3.3</t>
  </si>
  <si>
    <t>- на компенсацію за безоплатний проїзд багатодітних сімей</t>
  </si>
  <si>
    <t>3.4</t>
  </si>
  <si>
    <t>3.5</t>
  </si>
  <si>
    <t>3.6</t>
  </si>
  <si>
    <t>3.7</t>
  </si>
  <si>
    <t xml:space="preserve"> - компенсація за пільговий проїзд окремих категорій громадян Вінницької міської територіальної громади міським електротранспортом</t>
  </si>
  <si>
    <t xml:space="preserve"> - компенсація за пільговий проїзд окремих категорій громадян Вінницької міської територіальної громади автобусами загального користування</t>
  </si>
  <si>
    <t>Непокритті фінансуванням витрати для беззбиткової роботи підприємства</t>
  </si>
  <si>
    <t>Відшкодування лікарняних фондом соціального страхування</t>
  </si>
  <si>
    <t>Відшкодування ДТП</t>
  </si>
  <si>
    <t>Екологічний податок</t>
  </si>
  <si>
    <t>Туристичний збір</t>
  </si>
  <si>
    <t>Радіочастоти</t>
  </si>
  <si>
    <t>Відшкодування по виконавчим листам (аліменти)</t>
  </si>
  <si>
    <t>Витрати по  відрядженням</t>
  </si>
  <si>
    <t>Послуги звʼязку (інтернет, телефон, WiFi)</t>
  </si>
  <si>
    <t>Витрати на навчання</t>
  </si>
  <si>
    <t>Послуги сторонніх організацій (гідроізоляція, атестація робочих місць, архів, техобслуговування автомобілів, газопостачання, виготовлення обладнання та ін.)</t>
  </si>
  <si>
    <t>Метрологічне обслуговування приладів</t>
  </si>
  <si>
    <t>Витрати на рекламу (радіо, газети, телебачення)</t>
  </si>
  <si>
    <t>Витрати на медичний огляд працівників</t>
  </si>
  <si>
    <t>Оренда землі в с. Сичавка</t>
  </si>
  <si>
    <t>Модернізація та обслуговування обчислювальної техніки та програм</t>
  </si>
  <si>
    <t>Відшкодування членських внесків організаціям (Корпорація)</t>
  </si>
  <si>
    <t>Виплата пільгових пенсій</t>
  </si>
  <si>
    <t>Охорона по договору (трамвайне та тролейбусне депо , служба колії, енергогосподарство, автогосподарство, автобусний парк та адмінуправління (договір №185 від 18.08.2021 року)</t>
  </si>
  <si>
    <t>Фінансове посередництво (страхування майна)</t>
  </si>
  <si>
    <t>Відшкодування збитків при аваріях, ДТП</t>
  </si>
  <si>
    <t>Витрати по дератизації, дезінфекції, утилізація</t>
  </si>
  <si>
    <t>Технічний огляд транспортних засобів та ремонт</t>
  </si>
  <si>
    <t>Послуги по оренді диспетчерських пунктів</t>
  </si>
  <si>
    <t>Матеріальна допомога</t>
  </si>
  <si>
    <t>Витрачання на оплату авансів</t>
  </si>
  <si>
    <t>Інші:</t>
  </si>
  <si>
    <t>- виготовлення інформаційних систем</t>
  </si>
  <si>
    <t>- ремонт переїздів трамвайної колії з проїжджою частиною доріг, асфальтування міжколійних ділянок</t>
  </si>
  <si>
    <t>- переоснащення ТП</t>
  </si>
  <si>
    <t>- винагорода муніципальним платіжним системам</t>
  </si>
  <si>
    <t>- страхова компанія "Місто"</t>
  </si>
  <si>
    <t>- ремонт двигунів (тролейбусів, трамваїв, автобусів)</t>
  </si>
  <si>
    <t>- мийка вагонів</t>
  </si>
  <si>
    <t>- фарбування вагонів, автобусів</t>
  </si>
  <si>
    <t>- обробка деревяних та металевих конструкцій вогнезахисним розчином</t>
  </si>
  <si>
    <t>- Обком, профком (профспілкові внески)</t>
  </si>
  <si>
    <t>придбання (створення, виробництво) основних засобів,  усього, у тому числі:</t>
  </si>
  <si>
    <t>- принтер</t>
  </si>
  <si>
    <t>1</t>
  </si>
  <si>
    <t xml:space="preserve">модернізація, модифікація (добудова, дообладнання, реконструкція, виробництво) основних засобів, усього, у тому числі: </t>
  </si>
  <si>
    <t>будиночки база відпочинку "Луна"</t>
  </si>
  <si>
    <t>2</t>
  </si>
  <si>
    <t>3</t>
  </si>
  <si>
    <t>5</t>
  </si>
  <si>
    <t>6</t>
  </si>
  <si>
    <t>4</t>
  </si>
  <si>
    <t>виробництво тролейбусів з автономним ходом (7 од.)</t>
  </si>
  <si>
    <t xml:space="preserve">капітальний ремонт, усього, у тому числі: </t>
  </si>
  <si>
    <t>Відсотки одержані від депозиту</t>
  </si>
  <si>
    <t>АБ "Укргазбанк" (відсотки та комісія)</t>
  </si>
  <si>
    <t>Т.в.о.генерального директора КП "ВТК"</t>
  </si>
  <si>
    <t>Комунальне підприємство "Вінницька транспортна компанія"</t>
  </si>
  <si>
    <t xml:space="preserve">Комунальне підприємство   </t>
  </si>
  <si>
    <t>м. Вінниця</t>
  </si>
  <si>
    <t>07094 Вінницька міська рада</t>
  </si>
  <si>
    <t>міський електро- та автотранспорт</t>
  </si>
  <si>
    <t>32 Комунальна</t>
  </si>
  <si>
    <t>21036, м. Вінниця, вул. Хмельницьке шосе, буд. 29</t>
  </si>
  <si>
    <t>61-16-93, 55-09-20</t>
  </si>
  <si>
    <t>ПРО ВИКОНАННЯ ПОКАЗНИКІВ ФІНАНСОВОГО ПЛАНУ  КП "ВІННИЦЬКА ТРАНСПОРТНА КОМПАНІЯ"</t>
  </si>
  <si>
    <t>КП "ВІННИЦЬКА ТРАНСПОРТНА КОМПАНІЯ"</t>
  </si>
  <si>
    <t>Інші цілі (націнка на продукти в їдальнях КП "ВТК")</t>
  </si>
  <si>
    <t>модернізація системи АСКОЕ</t>
  </si>
  <si>
    <t>DAWOO LANOS АВ 5532 ВВ</t>
  </si>
  <si>
    <t>ZAZ VIDA АВ 55-57 ВХ</t>
  </si>
  <si>
    <t>ZAZ VIDA АВ 58-32 CМ</t>
  </si>
  <si>
    <t xml:space="preserve">Нісан Ліф (електро) </t>
  </si>
  <si>
    <t>Службові поїздки, відрядження</t>
  </si>
  <si>
    <t>придбання бувших у використанні тролейбусів  іноземного виробництва 20шт.</t>
  </si>
  <si>
    <t>- придбання бувших у використанні тролейбусів  іноземного виробництва 20шт.</t>
  </si>
  <si>
    <t>- виробництво тролейбусів з автономним ходом (7 од.)</t>
  </si>
  <si>
    <t>Дохід від реалізації проїзних документів</t>
  </si>
  <si>
    <t>Дохід від реалізації послуг</t>
  </si>
  <si>
    <t>Дохід від реалізації в їдальні № 118</t>
  </si>
  <si>
    <t>Дохід від реалізації в їдальні № 219</t>
  </si>
  <si>
    <t>Дохід від реалізації послуг житла</t>
  </si>
  <si>
    <t>Дохід від реалізації послуг по базі відпочинку</t>
  </si>
  <si>
    <t>фінансовий лізинг</t>
  </si>
  <si>
    <t>кредит (позика)</t>
  </si>
  <si>
    <t>комісія</t>
  </si>
  <si>
    <t>05.03.2019/04.03.2024</t>
  </si>
  <si>
    <t>не передбачає</t>
  </si>
  <si>
    <t>АБ "Укргазбанк" фінансовий лізинг дог.194/2021/ВОД-МСБ-ФЛ</t>
  </si>
  <si>
    <t>АБ "Укргазбанк" договір №1112/2021/ВОД-МСБ</t>
  </si>
  <si>
    <t>фінансовий лізинг дог.7</t>
  </si>
  <si>
    <t>фінансовий лізинг дог.1</t>
  </si>
  <si>
    <t>модернізація, модифікація (добудова, дообладнання, реконструкція) основних засобів усього, у тому числі:</t>
  </si>
  <si>
    <t>капітальний ремонт усього, у тому числі:</t>
  </si>
  <si>
    <t>Картсервіс</t>
  </si>
  <si>
    <t>- повернення фінансової допомоги</t>
  </si>
  <si>
    <t>- автомобіль Mercedes-Benz Sprinter</t>
  </si>
  <si>
    <t>- бомбосховище</t>
  </si>
  <si>
    <t>- генераторні установки</t>
  </si>
  <si>
    <t>- компьютер</t>
  </si>
  <si>
    <t>- сканер та модуль для грузового авто</t>
  </si>
  <si>
    <t>- токарно-гвинтовий станок</t>
  </si>
  <si>
    <t xml:space="preserve">- сканер та модуль для грузового авто </t>
  </si>
  <si>
    <t>Аналіз дохідної частини звіту</t>
  </si>
  <si>
    <t>Найменування показників</t>
  </si>
  <si>
    <t>Відхилення</t>
  </si>
  <si>
    <t>(+,-)</t>
  </si>
  <si>
    <t>%</t>
  </si>
  <si>
    <t>Усього доходів, у тому числі:</t>
  </si>
  <si>
    <t>Дохід від реалізації оборотних активів, від оприбуткування товарно-матеріальних цінностей</t>
  </si>
  <si>
    <t>Компенсація пільгового проїзду окремих категорій громадян МЕТ електротранспортом</t>
  </si>
  <si>
    <t>Компенсація пільгового проїзду окремих категорій громадян автобусом</t>
  </si>
  <si>
    <t>- на оплату фактично виконаних обсягів  пасажироперевезень міським електричним транспортом</t>
  </si>
  <si>
    <t>- на оплату фактично виконаних обсягів  пасажироперевезень автомобільним транспортом загального користування у звичайному режимі руху</t>
  </si>
  <si>
    <t>Аналіз витратної частини звіту</t>
  </si>
  <si>
    <t>Усього витрат, у тому числі:</t>
  </si>
  <si>
    <t>Структура та динаміка платежів до бюджетів всіх рівнів</t>
  </si>
  <si>
    <t>та державних цільових фондів</t>
  </si>
  <si>
    <t>Усього:</t>
  </si>
  <si>
    <t>Податок на додану вартість (ПДВ)</t>
  </si>
  <si>
    <t>Податок на доходи фізичних осіб</t>
  </si>
  <si>
    <t>Військовий збір</t>
  </si>
  <si>
    <t xml:space="preserve">Єдиний внесок на загальнообов҆язкове державне соціальне страхування </t>
  </si>
  <si>
    <t>Земельний податок</t>
  </si>
  <si>
    <t>Орендна плата</t>
  </si>
  <si>
    <t>Динаміка фінансових показників</t>
  </si>
  <si>
    <t>Валовий прибуток</t>
  </si>
  <si>
    <r>
      <t xml:space="preserve">Чистий фінансовий </t>
    </r>
    <r>
      <rPr>
        <sz val="12"/>
        <color theme="1"/>
        <rFont val="Times New Roman"/>
        <family val="1"/>
        <charset val="204"/>
      </rPr>
      <t>результат</t>
    </r>
    <r>
      <rPr>
        <sz val="12"/>
        <color rgb="FF000000"/>
        <rFont val="Times New Roman"/>
        <family val="1"/>
        <charset val="204"/>
      </rPr>
      <t>,              у тому числі:</t>
    </r>
  </si>
  <si>
    <t>прибуток</t>
  </si>
  <si>
    <t>Структура та динаміка чисельності, середньомісячної заробітної плати одного працівника та витрат на оплату праці</t>
  </si>
  <si>
    <t>Середня кількість працівників,         у тому числі:</t>
  </si>
  <si>
    <t>Витрати на оплату праці, тис.грн,        у тому числі:</t>
  </si>
  <si>
    <t>Середньомісячні витрати на оплату праці одного працівника, грн,  у тому числі:</t>
  </si>
  <si>
    <t>Факт 2022 р.</t>
  </si>
  <si>
    <t>зарплата   2022 р</t>
  </si>
  <si>
    <t xml:space="preserve">по  табл. 6,1  </t>
  </si>
  <si>
    <t>з ПДВ</t>
  </si>
  <si>
    <t>без ПДВ</t>
  </si>
  <si>
    <t>по звіту по статутному капіталу факт 2022 року бюджетні кошти</t>
  </si>
  <si>
    <t>____________________</t>
  </si>
  <si>
    <t>Т.в.о. генерального директора КП "ВТК"</t>
  </si>
  <si>
    <t>План 2023 р.</t>
  </si>
  <si>
    <t>Факт 2023 р.</t>
  </si>
  <si>
    <t>факт 2023 р. до плану  2023 р.</t>
  </si>
  <si>
    <t>за 2023 рік</t>
  </si>
  <si>
    <t>Звітний 2023 рік</t>
  </si>
  <si>
    <t xml:space="preserve">поточний 2023 рік </t>
  </si>
  <si>
    <t xml:space="preserve">поточний 
2023 рік </t>
  </si>
  <si>
    <t>поточний 2023 рік</t>
  </si>
  <si>
    <t xml:space="preserve">до звіту про виконання показників фінансового плану за 2023 рік 
                                                                                                 </t>
  </si>
  <si>
    <t>Отримано залучених коштів за звітний 2023 рік</t>
  </si>
  <si>
    <t>Повернено залучених коштів за звітний 2023 рік</t>
  </si>
  <si>
    <t xml:space="preserve">минулий 2022 рік </t>
  </si>
  <si>
    <t xml:space="preserve">минулий 
2022 рік </t>
  </si>
  <si>
    <t xml:space="preserve">минулий
 2022 рік </t>
  </si>
  <si>
    <t>минулий 2022 рік</t>
  </si>
  <si>
    <t>Факт минулого 2022 року</t>
  </si>
  <si>
    <t>План звітного 2023 року</t>
  </si>
  <si>
    <t>Факт звітного 2023 року</t>
  </si>
  <si>
    <t>факт 
минулого 2022 року</t>
  </si>
  <si>
    <t>план
звітного 2023 року</t>
  </si>
  <si>
    <t>факт
звітного 2023 року</t>
  </si>
  <si>
    <t>факт
минулого 2022 року</t>
  </si>
  <si>
    <t>факт 2023 р. до факту  2022 р.</t>
  </si>
  <si>
    <t>Факт
минулого 2022 року</t>
  </si>
  <si>
    <t>План
звітного 2023 року</t>
  </si>
  <si>
    <t>Факт
звітного 2023 року</t>
  </si>
  <si>
    <t>виробництво тролейбусів (5шт. з системою автономного ходу та 5шт. без системи автономного ходу)</t>
  </si>
  <si>
    <t>будівництво сонячної електростанції 100кВт в трамвайному депо (1од.)</t>
  </si>
  <si>
    <t>капітальний ремонт кабельних ліній ТП№12+0,6кВ, АСБ 3*240(Ф1) 0,15км, ТП№16-0,6кВ, АСБ 3*240(Ф6) 0,06км</t>
  </si>
  <si>
    <t xml:space="preserve">капітальний ремонт контактної мережі електротранспорту </t>
  </si>
  <si>
    <t xml:space="preserve">капітальний ремонт рухомого складу </t>
  </si>
  <si>
    <t>капітальний ремонт трамвайних колій</t>
  </si>
  <si>
    <t xml:space="preserve">капітальний ремонт трамвайної колії по просп. Коцюбинського до пл.Перемоги, вул. Барське шосе та Хмельницьке шосе </t>
  </si>
  <si>
    <t>придбання аварійного автомобіля для обслуговування та ремонту контактної мережі з гідропідйомником</t>
  </si>
  <si>
    <t>придбання автосамоскида в/п 10т (1од.)</t>
  </si>
  <si>
    <t>придбання бувших у використанні тролейбусів  іноземного виробництва 1шт. та супутні витрати</t>
  </si>
  <si>
    <t>придбання двох-постового зварювального агрегата</t>
  </si>
  <si>
    <t>придбання дизельних генераторів (15 кВт - 2 од., 130 кВт - 1 од.)</t>
  </si>
  <si>
    <t>- будівництво сонячної електростанції 100кВт в трамвайному депо (1од.)</t>
  </si>
  <si>
    <t>- виробництво тролейбусів (5шт. з системою автономного ходу та  5шт. без системи автономного ходу)</t>
  </si>
  <si>
    <t>- придбання автосамоскида в/п 10т (1од.)</t>
  </si>
  <si>
    <t>- придбання бувших у використанні тролейбусів  іноземного виробництва 1шт. та супутні витрати</t>
  </si>
  <si>
    <t>- придбання двох-постового дизельного зварювального агрегата</t>
  </si>
  <si>
    <t>- капітальний ремонт кабельних ліній ТП№12+0,6кВ, АСБ 3*240(Ф1) 0,15км, ТП№16-0,6кВ, АСБ 3*240(Ф6) 0,06км</t>
  </si>
  <si>
    <t xml:space="preserve">- капітальний ремонт контактної мережі електротранспорту </t>
  </si>
  <si>
    <t>- капітальний ремонт рухомого складу</t>
  </si>
  <si>
    <t>- капітальний ремонт трамвайних колій</t>
  </si>
  <si>
    <t xml:space="preserve">- капітальний ремонт трамвайної колії по просп. Коцюбинського до пл.Перемоги, вул. Барське шосе та Хмельницьке шосе </t>
  </si>
  <si>
    <t xml:space="preserve">- ремонт кабельних ліній ТП№20 10кВ, АСБ 3*120(Ф177) </t>
  </si>
  <si>
    <t>Заборгованість станом на 01.01.2024 року</t>
  </si>
  <si>
    <t>Заборгованість за кредитами станом на 01.01.2023 року</t>
  </si>
  <si>
    <t>- придбання автомобіля для обслуговування та ремонту контактної мережі з гідропідйомником</t>
  </si>
  <si>
    <t>- придбання дизельних генераторів (15 кВт - 2 од., 130 кВт - 1 од.)</t>
  </si>
  <si>
    <t>- отримання та адаптація трамвайних вагонів з м.Цюріх - 35 одиниць (ІІ фаза)</t>
  </si>
  <si>
    <t>отримання та адаптація трамвайних вагонів з м.Цюріх - 35 одиниць (ІІ фаза)</t>
  </si>
  <si>
    <t>- ремонт кабельних ліній ТП№12+0,6кВ, АСБ 3*240(Ф1) 0,15км, ТП№16-0,6кВ, АСБ 3*240(Ф6) 0,06км</t>
  </si>
  <si>
    <t>- встановлення опор контактної мережі</t>
  </si>
  <si>
    <t>- автомобіля для обслуговування та ремонту контактної мережі з гідропідйомником</t>
  </si>
  <si>
    <t>- бувших у використанні тролейбусів  іноземного виробництва 1шт. та супутні витрати</t>
  </si>
  <si>
    <t>- двох-постового дизельного зварювального агрегата</t>
  </si>
  <si>
    <t>- дизельних генераторів (15 кВт - 2 од., 130 кВт - 1 од.)</t>
  </si>
  <si>
    <t>- автосамоскида в/п 10т (1од.)</t>
  </si>
  <si>
    <t>- капітальний ремонт контактної мережі електротранспорту</t>
  </si>
  <si>
    <t>- охорони праці, здоров’я</t>
  </si>
  <si>
    <t>- сферах права, бухобліку та інше</t>
  </si>
  <si>
    <t>- дератизація і медогляд</t>
  </si>
  <si>
    <t>- податок на нерухомість</t>
  </si>
  <si>
    <t>Охорона об҆єктів: адмінуправління (договір №185 від 18.08.2022 року)</t>
  </si>
  <si>
    <t>- безоплатно отриманих активів (швейцарські трамваї та запасні частини до них)</t>
  </si>
  <si>
    <t>- навчання  в центрі зайнятості та навчання водіїв</t>
  </si>
  <si>
    <t>- автомобіль Мерседес</t>
  </si>
  <si>
    <t>- електрокардіограф</t>
  </si>
  <si>
    <t>- кондиціонер</t>
  </si>
  <si>
    <t>- напівавтомат зварювальний</t>
  </si>
  <si>
    <t xml:space="preserve">- підіймач колонний адаптація вагони 2000 </t>
  </si>
  <si>
    <t>- стенд шиномонтажний</t>
  </si>
  <si>
    <t>- сервер</t>
  </si>
  <si>
    <t>Будівництво сонячної електростанції 100кВт в трамвайному депо (1од.)</t>
  </si>
  <si>
    <t>завершене будівництво</t>
  </si>
  <si>
    <t>Трамвайна колія в трамвайному депо</t>
  </si>
  <si>
    <t>- трамвайна колія в трамвайному депо</t>
  </si>
  <si>
    <t>- електронавантажувач</t>
  </si>
  <si>
    <t>- пристрій зарядно-живильний</t>
  </si>
  <si>
    <t>- пневмогайковерт</t>
  </si>
  <si>
    <t>- мийка karcher</t>
  </si>
  <si>
    <t>- станція паяльна</t>
  </si>
  <si>
    <t>- візок високопідйомний гідравлічний</t>
  </si>
  <si>
    <t>- апарат зварювальний аргоно-дуговий</t>
  </si>
  <si>
    <t xml:space="preserve">Рік </t>
  </si>
  <si>
    <t xml:space="preserve"> (виготовленняі) основних засобів усього, у тому числі:</t>
  </si>
  <si>
    <t xml:space="preserve"> (створення) нематеріальних активів, усього, у тому числі:</t>
  </si>
  <si>
    <t>Повернення поворотної допомоги</t>
  </si>
  <si>
    <t>Цент зайнятості відшкодівання ВПО</t>
  </si>
  <si>
    <t>Повернення помилково перераховааних коштів</t>
  </si>
  <si>
    <t>- обстеження вагонів Київська інспекція МЕТ</t>
  </si>
  <si>
    <t>- надання поворотної  допомоги</t>
  </si>
  <si>
    <t>- керуючий пристрій ТП</t>
  </si>
  <si>
    <t>- система вентиляції</t>
  </si>
  <si>
    <t>Повернення коштів до бюджету (пільг.проїзд.батьки багатодітні)</t>
  </si>
  <si>
    <t>- реконструкція вул.Батожська</t>
  </si>
  <si>
    <t>- кап.ремонт коліі перехрестя вул.Пирогова</t>
  </si>
  <si>
    <t>Пені, штрафи</t>
  </si>
  <si>
    <t>Дохід від списання кредиторської заборгованості</t>
  </si>
  <si>
    <t>-аварійного автомобіля контактної мережі (1од.)</t>
  </si>
  <si>
    <t>-автомобіль Мерседес</t>
  </si>
  <si>
    <t>-автосамоскида в/п 10т (1од.)</t>
  </si>
  <si>
    <t>-бувших у використанні тролейбусів  іноземного виробництва 1шт. та супутні витрати</t>
  </si>
  <si>
    <t>-двох-постового дизельного зварювального агрегата</t>
  </si>
  <si>
    <t>-апарат зварювальний аргоно-дуговий</t>
  </si>
  <si>
    <t>-виробництво тролейбусів (5шт. з системою автономного ходу та  5шт. без системи автономного ходу)</t>
  </si>
  <si>
    <t>-візок високопідйомний гідравлічний</t>
  </si>
  <si>
    <t>-дизельних генераторів (15 кВт - 2 од., 130 кВт - 1 од.)</t>
  </si>
  <si>
    <t>-електрокардіограф</t>
  </si>
  <si>
    <t>-електронавантажувач</t>
  </si>
  <si>
    <t>-кондиціонер</t>
  </si>
  <si>
    <t>-мийка karcher</t>
  </si>
  <si>
    <t>-напівавтомат зварювальний</t>
  </si>
  <si>
    <t>-ноутбук</t>
  </si>
  <si>
    <t xml:space="preserve">-підіймач колонний адаптація вагони 2000 </t>
  </si>
  <si>
    <t>-пневмогайковерт</t>
  </si>
  <si>
    <t xml:space="preserve">-принтер </t>
  </si>
  <si>
    <t>-пристрій зарядно-живильний</t>
  </si>
  <si>
    <t>-сервер</t>
  </si>
  <si>
    <t>-станція паяльна</t>
  </si>
  <si>
    <t>-стенд шиномонтажний</t>
  </si>
  <si>
    <t>інші податки та збори (радіочастоти)</t>
  </si>
  <si>
    <t>Повернення статутного капіталу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</si>
</sst>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164" formatCode="_-* #,##0.00_₴_-;\-* #,##0.00_₴_-;_-* &quot;-&quot;??_₴_-;_-@_-"/>
    <numFmt numFmtId="165" formatCode="#,##0&quot;р.&quot;;[Red]\-#,##0&quot;р.&quot;"/>
    <numFmt numFmtId="166" formatCode="#,##0.00&quot;р.&quot;;\-#,##0.00&quot;р.&quot;"/>
    <numFmt numFmtId="167" formatCode="_-* #,##0.00_р_._-;\-* #,##0.00_р_._-;_-* &quot;-&quot;??_р_._-;_-@_-"/>
    <numFmt numFmtId="168" formatCode="_-* #,##0.00\ _г_р_н_._-;\-* #,##0.00\ _г_р_н_._-;_-* &quot;-&quot;??\ _г_р_н_._-;_-@_-"/>
    <numFmt numFmtId="169" formatCode="0.0"/>
    <numFmt numFmtId="170" formatCode="#,##0.0"/>
    <numFmt numFmtId="171" formatCode="###\ ##0.000"/>
    <numFmt numFmtId="172" formatCode="_(&quot;$&quot;* #,##0.00_);_(&quot;$&quot;* \(#,##0.00\);_(&quot;$&quot;* &quot;-&quot;??_);_(@_)"/>
    <numFmt numFmtId="173" formatCode="_(* #,##0_);_(* \(#,##0\);_(* &quot;-&quot;_);_(@_)"/>
    <numFmt numFmtId="174" formatCode="_(* #,##0.00_);_(* \(#,##0.00\);_(* &quot;-&quot;??_);_(@_)"/>
    <numFmt numFmtId="175" formatCode="#,##0.0_ ;[Red]\-#,##0.0\ "/>
    <numFmt numFmtId="176" formatCode="0.0;\(0.0\);\ ;\-"/>
    <numFmt numFmtId="177" formatCode="_(* #,##0_);_(* \(#,##0\);_(* &quot;-&quot;??_);_(@_)"/>
    <numFmt numFmtId="178" formatCode="_(* #,##0.0_);_(* \(#,##0.0\);_(* &quot;-&quot;??_);_(@_)"/>
    <numFmt numFmtId="179" formatCode="_(* #,##0.0_);_(* \(#,##0.0\);_(* &quot;-&quot;_);_(@_)"/>
  </numFmts>
  <fonts count="110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3"/>
      <name val="Times New Roman"/>
      <family val="1"/>
      <charset val="204"/>
    </font>
    <font>
      <b/>
      <sz val="13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Arial"/>
      <family val="2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4"/>
      <name val="Arial Cyr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Helv"/>
      <charset val="204"/>
    </font>
    <font>
      <sz val="11"/>
      <color indexed="8"/>
      <name val="Arial Cyr"/>
      <family val="2"/>
      <charset val="204"/>
    </font>
    <font>
      <sz val="11"/>
      <color indexed="9"/>
      <name val="Arial Cyr"/>
      <family val="2"/>
      <charset val="204"/>
    </font>
    <font>
      <b/>
      <sz val="12"/>
      <name val="Arial"/>
      <family val="2"/>
      <charset val="204"/>
    </font>
    <font>
      <sz val="10"/>
      <name val="FreeSet"/>
      <family val="2"/>
    </font>
    <font>
      <u/>
      <sz val="10"/>
      <color indexed="12"/>
      <name val="Arial"/>
      <family val="2"/>
      <charset val="204"/>
    </font>
    <font>
      <b/>
      <sz val="14"/>
      <name val="Arial"/>
      <family val="2"/>
      <charset val="204"/>
    </font>
    <font>
      <b/>
      <sz val="12"/>
      <color indexed="9"/>
      <name val="Arial"/>
      <family val="2"/>
      <charset val="204"/>
    </font>
    <font>
      <b/>
      <i/>
      <sz val="14"/>
      <name val="Arial"/>
      <family val="2"/>
      <charset val="204"/>
    </font>
    <font>
      <b/>
      <i/>
      <sz val="14"/>
      <color indexed="9"/>
      <name val="Arial"/>
      <family val="2"/>
      <charset val="204"/>
    </font>
    <font>
      <b/>
      <i/>
      <sz val="12"/>
      <color indexed="9"/>
      <name val="Arial"/>
      <family val="2"/>
      <charset val="204"/>
    </font>
    <font>
      <b/>
      <sz val="11"/>
      <name val="Arial"/>
      <family val="2"/>
      <charset val="204"/>
    </font>
    <font>
      <b/>
      <sz val="11"/>
      <color indexed="9"/>
      <name val="Arial"/>
      <family val="2"/>
      <charset val="204"/>
    </font>
    <font>
      <sz val="12"/>
      <color indexed="9"/>
      <name val="Bookman Old Style"/>
      <family val="1"/>
      <charset val="204"/>
    </font>
    <font>
      <sz val="11"/>
      <name val="Arial"/>
      <family val="2"/>
      <charset val="204"/>
    </font>
    <font>
      <sz val="11"/>
      <color indexed="9"/>
      <name val="Arial"/>
      <family val="2"/>
      <charset val="204"/>
    </font>
    <font>
      <i/>
      <sz val="11"/>
      <name val="Arial"/>
      <family val="2"/>
      <charset val="204"/>
    </font>
    <font>
      <b/>
      <i/>
      <sz val="11"/>
      <color indexed="9"/>
      <name val="Arial"/>
      <family val="2"/>
      <charset val="204"/>
    </font>
    <font>
      <b/>
      <sz val="10"/>
      <name val="Arial"/>
      <family val="2"/>
      <charset val="204"/>
    </font>
    <font>
      <sz val="11"/>
      <color indexed="62"/>
      <name val="Arial Cyr"/>
      <family val="2"/>
      <charset val="204"/>
    </font>
    <font>
      <b/>
      <sz val="11"/>
      <color indexed="63"/>
      <name val="Arial Cyr"/>
      <family val="2"/>
      <charset val="204"/>
    </font>
    <font>
      <b/>
      <sz val="11"/>
      <color indexed="52"/>
      <name val="Arial Cyr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1"/>
      <color indexed="8"/>
      <name val="Arial Cyr"/>
      <family val="2"/>
      <charset val="204"/>
    </font>
    <font>
      <b/>
      <sz val="11"/>
      <color indexed="9"/>
      <name val="Arial Cyr"/>
      <family val="2"/>
      <charset val="204"/>
    </font>
    <font>
      <sz val="11"/>
      <color indexed="60"/>
      <name val="Arial Cyr"/>
      <family val="2"/>
      <charset val="204"/>
    </font>
    <font>
      <sz val="11"/>
      <color indexed="20"/>
      <name val="Arial Cyr"/>
      <family val="2"/>
      <charset val="204"/>
    </font>
    <font>
      <i/>
      <sz val="11"/>
      <color indexed="23"/>
      <name val="Arial Cyr"/>
      <family val="2"/>
      <charset val="204"/>
    </font>
    <font>
      <sz val="12"/>
      <name val="Arial Cyr"/>
      <family val="2"/>
      <charset val="204"/>
    </font>
    <font>
      <sz val="11"/>
      <color indexed="52"/>
      <name val="Arial Cyr"/>
      <family val="2"/>
      <charset val="204"/>
    </font>
    <font>
      <sz val="10"/>
      <name val="Helv"/>
    </font>
    <font>
      <sz val="11"/>
      <color indexed="10"/>
      <name val="Arial Cyr"/>
      <family val="2"/>
      <charset val="204"/>
    </font>
    <font>
      <sz val="12"/>
      <name val="Journal"/>
    </font>
    <font>
      <sz val="11"/>
      <color indexed="17"/>
      <name val="Arial Cyr"/>
      <family val="2"/>
      <charset val="204"/>
    </font>
    <font>
      <sz val="10"/>
      <name val="Tahoma"/>
      <family val="2"/>
      <charset val="204"/>
    </font>
    <font>
      <sz val="10"/>
      <name val="Petersburg"/>
    </font>
    <font>
      <b/>
      <sz val="16"/>
      <color indexed="10"/>
      <name val="Times New Roman"/>
      <family val="1"/>
      <charset val="204"/>
    </font>
    <font>
      <b/>
      <i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18"/>
      <name val="Times New Roman"/>
      <family val="1"/>
      <charset val="204"/>
    </font>
    <font>
      <b/>
      <u/>
      <sz val="14"/>
      <name val="Times New Roman"/>
      <family val="1"/>
      <charset val="204"/>
    </font>
    <font>
      <sz val="16"/>
      <name val="Times New Roman"/>
      <family val="1"/>
      <charset val="204"/>
    </font>
    <font>
      <i/>
      <sz val="16"/>
      <name val="Times New Roman"/>
      <family val="1"/>
      <charset val="204"/>
    </font>
    <font>
      <sz val="16"/>
      <name val="Arial Cyr"/>
      <charset val="204"/>
    </font>
    <font>
      <i/>
      <sz val="14"/>
      <name val="Times New Roman"/>
      <family val="1"/>
      <charset val="204"/>
    </font>
    <font>
      <sz val="16"/>
      <color theme="0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16"/>
      <name val="Arial Cyr"/>
      <charset val="204"/>
    </font>
    <font>
      <u/>
      <sz val="16"/>
      <name val="Times New Roman"/>
      <family val="1"/>
      <charset val="204"/>
    </font>
    <font>
      <sz val="12"/>
      <name val="Arial Cyr"/>
      <charset val="204"/>
    </font>
    <font>
      <b/>
      <sz val="14"/>
      <color theme="1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4"/>
      <color indexed="63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13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3"/>
      <color rgb="FF000000"/>
      <name val="Times New Roman"/>
      <family val="1"/>
      <charset val="204"/>
    </font>
    <font>
      <b/>
      <sz val="13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b/>
      <sz val="26"/>
      <name val="Times New Roman"/>
      <family val="1"/>
      <charset val="204"/>
    </font>
    <font>
      <sz val="26"/>
      <name val="Times New Roman"/>
      <family val="1"/>
      <charset val="204"/>
    </font>
    <font>
      <sz val="14"/>
      <color theme="0"/>
      <name val="Times New Roman"/>
      <family val="1"/>
      <charset val="204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44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355"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32" fillId="2" borderId="0" applyNumberFormat="0" applyBorder="0" applyAlignment="0" applyProtection="0"/>
    <xf numFmtId="0" fontId="1" fillId="2" borderId="0" applyNumberFormat="0" applyBorder="0" applyAlignment="0" applyProtection="0"/>
    <xf numFmtId="0" fontId="32" fillId="3" borderId="0" applyNumberFormat="0" applyBorder="0" applyAlignment="0" applyProtection="0"/>
    <xf numFmtId="0" fontId="1" fillId="3" borderId="0" applyNumberFormat="0" applyBorder="0" applyAlignment="0" applyProtection="0"/>
    <xf numFmtId="0" fontId="32" fillId="4" borderId="0" applyNumberFormat="0" applyBorder="0" applyAlignment="0" applyProtection="0"/>
    <xf numFmtId="0" fontId="1" fillId="4" borderId="0" applyNumberFormat="0" applyBorder="0" applyAlignment="0" applyProtection="0"/>
    <xf numFmtId="0" fontId="32" fillId="5" borderId="0" applyNumberFormat="0" applyBorder="0" applyAlignment="0" applyProtection="0"/>
    <xf numFmtId="0" fontId="1" fillId="5" borderId="0" applyNumberFormat="0" applyBorder="0" applyAlignment="0" applyProtection="0"/>
    <xf numFmtId="0" fontId="32" fillId="6" borderId="0" applyNumberFormat="0" applyBorder="0" applyAlignment="0" applyProtection="0"/>
    <xf numFmtId="0" fontId="1" fillId="6" borderId="0" applyNumberFormat="0" applyBorder="0" applyAlignment="0" applyProtection="0"/>
    <xf numFmtId="0" fontId="32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32" fillId="8" borderId="0" applyNumberFormat="0" applyBorder="0" applyAlignment="0" applyProtection="0"/>
    <xf numFmtId="0" fontId="1" fillId="8" borderId="0" applyNumberFormat="0" applyBorder="0" applyAlignment="0" applyProtection="0"/>
    <xf numFmtId="0" fontId="32" fillId="9" borderId="0" applyNumberFormat="0" applyBorder="0" applyAlignment="0" applyProtection="0"/>
    <xf numFmtId="0" fontId="1" fillId="9" borderId="0" applyNumberFormat="0" applyBorder="0" applyAlignment="0" applyProtection="0"/>
    <xf numFmtId="0" fontId="32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5" borderId="0" applyNumberFormat="0" applyBorder="0" applyAlignment="0" applyProtection="0"/>
    <xf numFmtId="0" fontId="1" fillId="5" borderId="0" applyNumberFormat="0" applyBorder="0" applyAlignment="0" applyProtection="0"/>
    <xf numFmtId="0" fontId="32" fillId="8" borderId="0" applyNumberFormat="0" applyBorder="0" applyAlignment="0" applyProtection="0"/>
    <xf numFmtId="0" fontId="1" fillId="8" borderId="0" applyNumberFormat="0" applyBorder="0" applyAlignment="0" applyProtection="0"/>
    <xf numFmtId="0" fontId="32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33" fillId="12" borderId="0" applyNumberFormat="0" applyBorder="0" applyAlignment="0" applyProtection="0"/>
    <xf numFmtId="0" fontId="15" fillId="12" borderId="0" applyNumberFormat="0" applyBorder="0" applyAlignment="0" applyProtection="0"/>
    <xf numFmtId="0" fontId="33" fillId="9" borderId="0" applyNumberFormat="0" applyBorder="0" applyAlignment="0" applyProtection="0"/>
    <xf numFmtId="0" fontId="15" fillId="9" borderId="0" applyNumberFormat="0" applyBorder="0" applyAlignment="0" applyProtection="0"/>
    <xf numFmtId="0" fontId="33" fillId="10" borderId="0" applyNumberFormat="0" applyBorder="0" applyAlignment="0" applyProtection="0"/>
    <xf numFmtId="0" fontId="15" fillId="10" borderId="0" applyNumberFormat="0" applyBorder="0" applyAlignment="0" applyProtection="0"/>
    <xf numFmtId="0" fontId="33" fillId="13" borderId="0" applyNumberFormat="0" applyBorder="0" applyAlignment="0" applyProtection="0"/>
    <xf numFmtId="0" fontId="15" fillId="13" borderId="0" applyNumberFormat="0" applyBorder="0" applyAlignment="0" applyProtection="0"/>
    <xf numFmtId="0" fontId="33" fillId="14" borderId="0" applyNumberFormat="0" applyBorder="0" applyAlignment="0" applyProtection="0"/>
    <xf numFmtId="0" fontId="15" fillId="14" borderId="0" applyNumberFormat="0" applyBorder="0" applyAlignment="0" applyProtection="0"/>
    <xf numFmtId="0" fontId="33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9" borderId="0" applyNumberFormat="0" applyBorder="0" applyAlignment="0" applyProtection="0"/>
    <xf numFmtId="0" fontId="26" fillId="3" borderId="0" applyNumberFormat="0" applyBorder="0" applyAlignment="0" applyProtection="0"/>
    <xf numFmtId="0" fontId="18" fillId="20" borderId="1" applyNumberFormat="0" applyAlignment="0" applyProtection="0"/>
    <xf numFmtId="0" fontId="23" fillId="21" borderId="2" applyNumberFormat="0" applyAlignment="0" applyProtection="0"/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168" fontId="12" fillId="0" borderId="0" applyFont="0" applyFill="0" applyBorder="0" applyAlignment="0" applyProtection="0"/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0" fontId="27" fillId="0" borderId="0" applyNumberFormat="0" applyFill="0" applyBorder="0" applyAlignment="0" applyProtection="0"/>
    <xf numFmtId="171" fontId="35" fillId="0" borderId="0" applyAlignment="0">
      <alignment wrapText="1"/>
    </xf>
    <xf numFmtId="0" fontId="30" fillId="4" borderId="0" applyNumberFormat="0" applyBorder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16" fillId="7" borderId="1" applyNumberFormat="0" applyAlignment="0" applyProtection="0"/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</xf>
    <xf numFmtId="49" fontId="12" fillId="0" borderId="0" applyNumberFormat="0" applyFont="0" applyAlignment="0">
      <alignment vertical="top" wrapText="1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37" fillId="22" borderId="7">
      <alignment horizontal="left" vertical="center"/>
      <protection locked="0"/>
    </xf>
    <xf numFmtId="49" fontId="37" fillId="22" borderId="7">
      <alignment horizontal="left" vertical="center"/>
    </xf>
    <xf numFmtId="4" fontId="37" fillId="22" borderId="7">
      <alignment horizontal="right" vertical="center"/>
      <protection locked="0"/>
    </xf>
    <xf numFmtId="4" fontId="37" fillId="22" borderId="7">
      <alignment horizontal="right" vertical="center"/>
    </xf>
    <xf numFmtId="4" fontId="38" fillId="22" borderId="7">
      <alignment horizontal="right" vertical="center"/>
      <protection locked="0"/>
    </xf>
    <xf numFmtId="49" fontId="39" fillId="22" borderId="3">
      <alignment horizontal="left" vertical="center"/>
      <protection locked="0"/>
    </xf>
    <xf numFmtId="49" fontId="39" fillId="22" borderId="3">
      <alignment horizontal="left" vertical="center"/>
    </xf>
    <xf numFmtId="49" fontId="40" fillId="22" borderId="3">
      <alignment horizontal="left" vertical="center"/>
      <protection locked="0"/>
    </xf>
    <xf numFmtId="49" fontId="40" fillId="22" borderId="3">
      <alignment horizontal="left" vertical="center"/>
    </xf>
    <xf numFmtId="4" fontId="39" fillId="22" borderId="3">
      <alignment horizontal="right" vertical="center"/>
      <protection locked="0"/>
    </xf>
    <xf numFmtId="4" fontId="39" fillId="22" borderId="3">
      <alignment horizontal="right" vertical="center"/>
    </xf>
    <xf numFmtId="4" fontId="41" fillId="22" borderId="3">
      <alignment horizontal="right" vertical="center"/>
      <protection locked="0"/>
    </xf>
    <xf numFmtId="49" fontId="34" fillId="22" borderId="3">
      <alignment horizontal="left" vertical="center"/>
      <protection locked="0"/>
    </xf>
    <xf numFmtId="49" fontId="34" fillId="22" borderId="3">
      <alignment horizontal="left" vertical="center"/>
      <protection locked="0"/>
    </xf>
    <xf numFmtId="49" fontId="34" fillId="22" borderId="3">
      <alignment horizontal="left" vertical="center"/>
    </xf>
    <xf numFmtId="49" fontId="34" fillId="22" borderId="3">
      <alignment horizontal="left" vertical="center"/>
    </xf>
    <xf numFmtId="49" fontId="38" fillId="22" borderId="3">
      <alignment horizontal="left" vertical="center"/>
      <protection locked="0"/>
    </xf>
    <xf numFmtId="49" fontId="38" fillId="22" borderId="3">
      <alignment horizontal="left" vertical="center"/>
    </xf>
    <xf numFmtId="4" fontId="34" fillId="22" borderId="3">
      <alignment horizontal="right" vertical="center"/>
      <protection locked="0"/>
    </xf>
    <xf numFmtId="4" fontId="34" fillId="22" borderId="3">
      <alignment horizontal="right" vertical="center"/>
      <protection locked="0"/>
    </xf>
    <xf numFmtId="4" fontId="34" fillId="22" borderId="3">
      <alignment horizontal="right" vertical="center"/>
    </xf>
    <xf numFmtId="4" fontId="34" fillId="22" borderId="3">
      <alignment horizontal="right" vertical="center"/>
    </xf>
    <xf numFmtId="4" fontId="38" fillId="22" borderId="3">
      <alignment horizontal="right" vertical="center"/>
      <protection locked="0"/>
    </xf>
    <xf numFmtId="49" fontId="42" fillId="22" borderId="3">
      <alignment horizontal="left" vertical="center"/>
      <protection locked="0"/>
    </xf>
    <xf numFmtId="49" fontId="42" fillId="22" borderId="3">
      <alignment horizontal="left" vertical="center"/>
    </xf>
    <xf numFmtId="49" fontId="43" fillId="22" borderId="3">
      <alignment horizontal="left" vertical="center"/>
      <protection locked="0"/>
    </xf>
    <xf numFmtId="49" fontId="43" fillId="22" borderId="3">
      <alignment horizontal="left" vertical="center"/>
    </xf>
    <xf numFmtId="4" fontId="42" fillId="22" borderId="3">
      <alignment horizontal="right" vertical="center"/>
      <protection locked="0"/>
    </xf>
    <xf numFmtId="4" fontId="42" fillId="22" borderId="3">
      <alignment horizontal="right" vertical="center"/>
    </xf>
    <xf numFmtId="4" fontId="44" fillId="22" borderId="3">
      <alignment horizontal="right" vertical="center"/>
      <protection locked="0"/>
    </xf>
    <xf numFmtId="49" fontId="45" fillId="0" borderId="3">
      <alignment horizontal="left" vertical="center"/>
      <protection locked="0"/>
    </xf>
    <xf numFmtId="49" fontId="45" fillId="0" borderId="3">
      <alignment horizontal="left" vertical="center"/>
    </xf>
    <xf numFmtId="49" fontId="46" fillId="0" borderId="3">
      <alignment horizontal="left" vertical="center"/>
      <protection locked="0"/>
    </xf>
    <xf numFmtId="49" fontId="46" fillId="0" borderId="3">
      <alignment horizontal="left" vertical="center"/>
    </xf>
    <xf numFmtId="4" fontId="45" fillId="0" borderId="3">
      <alignment horizontal="right" vertical="center"/>
      <protection locked="0"/>
    </xf>
    <xf numFmtId="4" fontId="45" fillId="0" borderId="3">
      <alignment horizontal="right" vertical="center"/>
    </xf>
    <xf numFmtId="4" fontId="46" fillId="0" borderId="3">
      <alignment horizontal="right" vertical="center"/>
      <protection locked="0"/>
    </xf>
    <xf numFmtId="49" fontId="47" fillId="0" borderId="3">
      <alignment horizontal="left" vertical="center"/>
      <protection locked="0"/>
    </xf>
    <xf numFmtId="49" fontId="47" fillId="0" borderId="3">
      <alignment horizontal="left" vertical="center"/>
    </xf>
    <xf numFmtId="49" fontId="48" fillId="0" borderId="3">
      <alignment horizontal="left" vertical="center"/>
      <protection locked="0"/>
    </xf>
    <xf numFmtId="49" fontId="48" fillId="0" borderId="3">
      <alignment horizontal="left" vertical="center"/>
    </xf>
    <xf numFmtId="4" fontId="47" fillId="0" borderId="3">
      <alignment horizontal="right" vertical="center"/>
      <protection locked="0"/>
    </xf>
    <xf numFmtId="4" fontId="47" fillId="0" borderId="3">
      <alignment horizontal="right" vertical="center"/>
    </xf>
    <xf numFmtId="49" fontId="45" fillId="0" borderId="3">
      <alignment horizontal="left" vertical="center"/>
      <protection locked="0"/>
    </xf>
    <xf numFmtId="49" fontId="46" fillId="0" borderId="3">
      <alignment horizontal="left" vertical="center"/>
      <protection locked="0"/>
    </xf>
    <xf numFmtId="4" fontId="45" fillId="0" borderId="3">
      <alignment horizontal="right" vertical="center"/>
      <protection locked="0"/>
    </xf>
    <xf numFmtId="0" fontId="28" fillId="0" borderId="8" applyNumberFormat="0" applyFill="0" applyAlignment="0" applyProtection="0"/>
    <xf numFmtId="0" fontId="25" fillId="23" borderId="0" applyNumberFormat="0" applyBorder="0" applyAlignment="0" applyProtection="0"/>
    <xf numFmtId="0" fontId="12" fillId="0" borderId="0"/>
    <xf numFmtId="0" fontId="12" fillId="0" borderId="0"/>
    <xf numFmtId="0" fontId="12" fillId="24" borderId="0" applyNumberFormat="0" applyFill="0" applyAlignment="0">
      <alignment horizontal="center"/>
      <protection locked="0"/>
    </xf>
    <xf numFmtId="0" fontId="2" fillId="25" borderId="9" applyNumberFormat="0" applyFont="0" applyAlignment="0" applyProtection="0"/>
    <xf numFmtId="4" fontId="49" fillId="26" borderId="3">
      <alignment horizontal="right" vertical="center"/>
      <protection locked="0"/>
    </xf>
    <xf numFmtId="4" fontId="49" fillId="27" borderId="3">
      <alignment horizontal="right" vertical="center"/>
      <protection locked="0"/>
    </xf>
    <xf numFmtId="4" fontId="49" fillId="28" borderId="3">
      <alignment horizontal="right" vertical="center"/>
      <protection locked="0"/>
    </xf>
    <xf numFmtId="0" fontId="17" fillId="20" borderId="10" applyNumberFormat="0" applyAlignment="0" applyProtection="0"/>
    <xf numFmtId="49" fontId="34" fillId="0" borderId="3">
      <alignment horizontal="left" vertical="center" wrapText="1"/>
      <protection locked="0"/>
    </xf>
    <xf numFmtId="49" fontId="34" fillId="0" borderId="3">
      <alignment horizontal="left" vertical="center" wrapText="1"/>
      <protection locked="0"/>
    </xf>
    <xf numFmtId="0" fontId="24" fillId="0" borderId="0" applyNumberFormat="0" applyFill="0" applyBorder="0" applyAlignment="0" applyProtection="0"/>
    <xf numFmtId="0" fontId="22" fillId="0" borderId="11" applyNumberFormat="0" applyFill="0" applyAlignment="0" applyProtection="0"/>
    <xf numFmtId="0" fontId="29" fillId="0" borderId="0" applyNumberFormat="0" applyFill="0" applyBorder="0" applyAlignment="0" applyProtection="0"/>
    <xf numFmtId="0" fontId="33" fillId="16" borderId="0" applyNumberFormat="0" applyBorder="0" applyAlignment="0" applyProtection="0"/>
    <xf numFmtId="0" fontId="15" fillId="16" borderId="0" applyNumberFormat="0" applyBorder="0" applyAlignment="0" applyProtection="0"/>
    <xf numFmtId="0" fontId="33" fillId="17" borderId="0" applyNumberFormat="0" applyBorder="0" applyAlignment="0" applyProtection="0"/>
    <xf numFmtId="0" fontId="15" fillId="17" borderId="0" applyNumberFormat="0" applyBorder="0" applyAlignment="0" applyProtection="0"/>
    <xf numFmtId="0" fontId="33" fillId="18" borderId="0" applyNumberFormat="0" applyBorder="0" applyAlignment="0" applyProtection="0"/>
    <xf numFmtId="0" fontId="15" fillId="18" borderId="0" applyNumberFormat="0" applyBorder="0" applyAlignment="0" applyProtection="0"/>
    <xf numFmtId="0" fontId="33" fillId="13" borderId="0" applyNumberFormat="0" applyBorder="0" applyAlignment="0" applyProtection="0"/>
    <xf numFmtId="0" fontId="15" fillId="13" borderId="0" applyNumberFormat="0" applyBorder="0" applyAlignment="0" applyProtection="0"/>
    <xf numFmtId="0" fontId="33" fillId="14" borderId="0" applyNumberFormat="0" applyBorder="0" applyAlignment="0" applyProtection="0"/>
    <xf numFmtId="0" fontId="15" fillId="14" borderId="0" applyNumberFormat="0" applyBorder="0" applyAlignment="0" applyProtection="0"/>
    <xf numFmtId="0" fontId="33" fillId="19" borderId="0" applyNumberFormat="0" applyBorder="0" applyAlignment="0" applyProtection="0"/>
    <xf numFmtId="0" fontId="15" fillId="19" borderId="0" applyNumberFormat="0" applyBorder="0" applyAlignment="0" applyProtection="0"/>
    <xf numFmtId="0" fontId="50" fillId="7" borderId="1" applyNumberFormat="0" applyAlignment="0" applyProtection="0"/>
    <xf numFmtId="0" fontId="16" fillId="7" borderId="1" applyNumberFormat="0" applyAlignment="0" applyProtection="0"/>
    <xf numFmtId="9" fontId="2" fillId="0" borderId="0" applyFont="0" applyFill="0" applyBorder="0" applyAlignment="0" applyProtection="0"/>
    <xf numFmtId="0" fontId="51" fillId="20" borderId="10" applyNumberFormat="0" applyAlignment="0" applyProtection="0"/>
    <xf numFmtId="0" fontId="17" fillId="20" borderId="10" applyNumberFormat="0" applyAlignment="0" applyProtection="0"/>
    <xf numFmtId="0" fontId="52" fillId="20" borderId="1" applyNumberFormat="0" applyAlignment="0" applyProtection="0"/>
    <xf numFmtId="0" fontId="18" fillId="20" borderId="1" applyNumberFormat="0" applyAlignment="0" applyProtection="0"/>
    <xf numFmtId="172" fontId="12" fillId="0" borderId="0" applyFont="0" applyFill="0" applyBorder="0" applyAlignment="0" applyProtection="0"/>
    <xf numFmtId="0" fontId="53" fillId="0" borderId="4" applyNumberFormat="0" applyFill="0" applyAlignment="0" applyProtection="0"/>
    <xf numFmtId="0" fontId="19" fillId="0" borderId="4" applyNumberFormat="0" applyFill="0" applyAlignment="0" applyProtection="0"/>
    <xf numFmtId="0" fontId="54" fillId="0" borderId="5" applyNumberFormat="0" applyFill="0" applyAlignment="0" applyProtection="0"/>
    <xf numFmtId="0" fontId="20" fillId="0" borderId="5" applyNumberFormat="0" applyFill="0" applyAlignment="0" applyProtection="0"/>
    <xf numFmtId="0" fontId="55" fillId="0" borderId="6" applyNumberFormat="0" applyFill="0" applyAlignment="0" applyProtection="0"/>
    <xf numFmtId="0" fontId="21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6" fillId="0" borderId="11" applyNumberFormat="0" applyFill="0" applyAlignment="0" applyProtection="0"/>
    <xf numFmtId="0" fontId="22" fillId="0" borderId="11" applyNumberFormat="0" applyFill="0" applyAlignment="0" applyProtection="0"/>
    <xf numFmtId="0" fontId="57" fillId="21" borderId="2" applyNumberFormat="0" applyAlignment="0" applyProtection="0"/>
    <xf numFmtId="0" fontId="23" fillId="21" borderId="2" applyNumberFormat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8" fillId="23" borderId="0" applyNumberFormat="0" applyBorder="0" applyAlignment="0" applyProtection="0"/>
    <xf numFmtId="0" fontId="25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" fillId="0" borderId="0"/>
    <xf numFmtId="0" fontId="71" fillId="0" borderId="0"/>
    <xf numFmtId="0" fontId="12" fillId="0" borderId="0"/>
    <xf numFmtId="0" fontId="2" fillId="0" borderId="0"/>
    <xf numFmtId="0" fontId="12" fillId="0" borderId="0"/>
    <xf numFmtId="0" fontId="12" fillId="0" borderId="0" applyNumberFormat="0" applyFont="0" applyFill="0" applyBorder="0" applyAlignment="0" applyProtection="0">
      <alignment vertical="top"/>
    </xf>
    <xf numFmtId="0" fontId="12" fillId="0" borderId="0" applyNumberFormat="0" applyFont="0" applyFill="0" applyBorder="0" applyAlignment="0" applyProtection="0">
      <alignment vertical="top"/>
    </xf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59" fillId="3" borderId="0" applyNumberFormat="0" applyBorder="0" applyAlignment="0" applyProtection="0"/>
    <xf numFmtId="0" fontId="26" fillId="3" borderId="0" applyNumberFormat="0" applyBorder="0" applyAlignment="0" applyProtection="0"/>
    <xf numFmtId="0" fontId="60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61" fillId="25" borderId="9" applyNumberFormat="0" applyFont="0" applyAlignment="0" applyProtection="0"/>
    <xf numFmtId="0" fontId="12" fillId="25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2" fillId="0" borderId="8" applyNumberFormat="0" applyFill="0" applyAlignment="0" applyProtection="0"/>
    <xf numFmtId="0" fontId="28" fillId="0" borderId="8" applyNumberFormat="0" applyFill="0" applyAlignment="0" applyProtection="0"/>
    <xf numFmtId="0" fontId="31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173" fontId="65" fillId="0" borderId="0" applyFont="0" applyFill="0" applyBorder="0" applyAlignment="0" applyProtection="0"/>
    <xf numFmtId="174" fontId="6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66" fillId="4" borderId="0" applyNumberFormat="0" applyBorder="0" applyAlignment="0" applyProtection="0"/>
    <xf numFmtId="0" fontId="30" fillId="4" borderId="0" applyNumberFormat="0" applyBorder="0" applyAlignment="0" applyProtection="0"/>
    <xf numFmtId="176" fontId="67" fillId="22" borderId="12" applyFill="0" applyBorder="0">
      <alignment horizontal="center" vertical="center" wrapText="1"/>
      <protection locked="0"/>
    </xf>
    <xf numFmtId="171" fontId="68" fillId="0" borderId="0">
      <alignment wrapText="1"/>
    </xf>
    <xf numFmtId="171" fontId="35" fillId="0" borderId="0">
      <alignment wrapText="1"/>
    </xf>
    <xf numFmtId="0" fontId="2" fillId="0" borderId="0"/>
  </cellStyleXfs>
  <cellXfs count="618">
    <xf numFmtId="0" fontId="0" fillId="0" borderId="0" xfId="0"/>
    <xf numFmtId="0" fontId="5" fillId="29" borderId="0" xfId="0" applyFont="1" applyFill="1" applyAlignment="1">
      <alignment horizontal="left" vertical="center" wrapText="1"/>
    </xf>
    <xf numFmtId="0" fontId="5" fillId="29" borderId="3" xfId="246" applyFont="1" applyFill="1" applyBorder="1" applyAlignment="1">
      <alignment horizontal="left" vertical="center" wrapText="1"/>
    </xf>
    <xf numFmtId="0" fontId="4" fillId="29" borderId="3" xfId="246" applyFont="1" applyFill="1" applyBorder="1" applyAlignment="1">
      <alignment horizontal="center" vertical="center"/>
    </xf>
    <xf numFmtId="0" fontId="5" fillId="29" borderId="0" xfId="246" applyFont="1" applyFill="1" applyAlignment="1">
      <alignment horizontal="left" vertical="center" wrapText="1"/>
    </xf>
    <xf numFmtId="0" fontId="5" fillId="29" borderId="0" xfId="246" applyFont="1" applyFill="1" applyAlignment="1">
      <alignment horizontal="center" vertical="center"/>
    </xf>
    <xf numFmtId="0" fontId="5" fillId="29" borderId="0" xfId="246" applyFont="1" applyFill="1" applyAlignment="1">
      <alignment vertical="center" wrapText="1"/>
    </xf>
    <xf numFmtId="0" fontId="5" fillId="29" borderId="3" xfId="238" applyFont="1" applyFill="1" applyBorder="1" applyAlignment="1">
      <alignment horizontal="center" vertical="center"/>
    </xf>
    <xf numFmtId="0" fontId="4" fillId="29" borderId="3" xfId="238" applyFont="1" applyFill="1" applyBorder="1" applyAlignment="1">
      <alignment horizontal="left" vertical="center"/>
    </xf>
    <xf numFmtId="0" fontId="5" fillId="29" borderId="3" xfId="238" applyFont="1" applyFill="1" applyBorder="1" applyAlignment="1">
      <alignment horizontal="center" vertical="center" wrapText="1"/>
    </xf>
    <xf numFmtId="0" fontId="5" fillId="29" borderId="3" xfId="238" applyFont="1" applyFill="1" applyBorder="1" applyAlignment="1">
      <alignment horizontal="left" vertical="center" wrapText="1"/>
    </xf>
    <xf numFmtId="49" fontId="5" fillId="29" borderId="3" xfId="238" applyNumberFormat="1" applyFont="1" applyFill="1" applyBorder="1" applyAlignment="1">
      <alignment horizontal="left" vertical="center" wrapText="1"/>
    </xf>
    <xf numFmtId="0" fontId="11" fillId="29" borderId="0" xfId="0" applyFont="1" applyFill="1"/>
    <xf numFmtId="3" fontId="5" fillId="29" borderId="0" xfId="0" applyNumberFormat="1" applyFont="1" applyFill="1" applyAlignment="1">
      <alignment horizontal="center" vertical="center" wrapText="1"/>
    </xf>
    <xf numFmtId="0" fontId="5" fillId="29" borderId="0" xfId="0" applyFont="1" applyFill="1" applyAlignment="1">
      <alignment horizontal="left" vertical="center" wrapText="1" shrinkToFit="1"/>
    </xf>
    <xf numFmtId="0" fontId="9" fillId="29" borderId="0" xfId="0" applyFont="1" applyFill="1" applyAlignment="1">
      <alignment vertical="center"/>
    </xf>
    <xf numFmtId="0" fontId="7" fillId="29" borderId="0" xfId="0" applyFont="1" applyFill="1" applyAlignment="1">
      <alignment horizontal="center" vertical="center"/>
    </xf>
    <xf numFmtId="0" fontId="5" fillId="29" borderId="19" xfId="0" applyFont="1" applyFill="1" applyBorder="1" applyAlignment="1">
      <alignment horizontal="center" vertical="center" wrapText="1"/>
    </xf>
    <xf numFmtId="0" fontId="5" fillId="29" borderId="0" xfId="0" applyFont="1" applyFill="1" applyAlignment="1">
      <alignment horizontal="right" vertical="center"/>
    </xf>
    <xf numFmtId="1" fontId="5" fillId="29" borderId="0" xfId="0" applyNumberFormat="1" applyFont="1" applyFill="1" applyAlignment="1">
      <alignment horizontal="center" vertical="center"/>
    </xf>
    <xf numFmtId="0" fontId="4" fillId="29" borderId="0" xfId="0" applyFont="1" applyFill="1" applyAlignment="1">
      <alignment vertical="center"/>
    </xf>
    <xf numFmtId="0" fontId="4" fillId="29" borderId="0" xfId="0" applyFont="1" applyFill="1" applyAlignment="1">
      <alignment horizontal="right" vertical="center"/>
    </xf>
    <xf numFmtId="0" fontId="8" fillId="29" borderId="0" xfId="0" applyFont="1" applyFill="1" applyAlignment="1">
      <alignment vertical="center"/>
    </xf>
    <xf numFmtId="170" fontId="5" fillId="29" borderId="0" xfId="0" applyNumberFormat="1" applyFont="1" applyFill="1" applyAlignment="1">
      <alignment vertical="center"/>
    </xf>
    <xf numFmtId="3" fontId="5" fillId="29" borderId="18" xfId="0" applyNumberFormat="1" applyFont="1" applyFill="1" applyBorder="1" applyAlignment="1">
      <alignment vertical="center" wrapText="1"/>
    </xf>
    <xf numFmtId="169" fontId="4" fillId="29" borderId="0" xfId="0" applyNumberFormat="1" applyFont="1" applyFill="1" applyAlignment="1">
      <alignment horizontal="right" vertical="center" wrapText="1"/>
    </xf>
    <xf numFmtId="169" fontId="4" fillId="29" borderId="0" xfId="0" applyNumberFormat="1" applyFont="1" applyFill="1" applyAlignment="1">
      <alignment horizontal="center" vertical="center" wrapText="1"/>
    </xf>
    <xf numFmtId="170" fontId="4" fillId="29" borderId="0" xfId="0" applyNumberFormat="1" applyFont="1" applyFill="1" applyAlignment="1">
      <alignment horizontal="center" vertical="center" wrapText="1"/>
    </xf>
    <xf numFmtId="170" fontId="4" fillId="29" borderId="0" xfId="0" applyNumberFormat="1" applyFont="1" applyFill="1" applyAlignment="1">
      <alignment horizontal="center" vertical="center"/>
    </xf>
    <xf numFmtId="170" fontId="4" fillId="29" borderId="0" xfId="0" applyNumberFormat="1" applyFont="1" applyFill="1" applyAlignment="1">
      <alignment vertical="center"/>
    </xf>
    <xf numFmtId="0" fontId="4" fillId="29" borderId="0" xfId="0" applyFont="1" applyFill="1" applyAlignment="1">
      <alignment horizontal="left" vertical="center"/>
    </xf>
    <xf numFmtId="0" fontId="14" fillId="29" borderId="0" xfId="0" applyFont="1" applyFill="1" applyAlignment="1">
      <alignment vertical="center"/>
    </xf>
    <xf numFmtId="0" fontId="14" fillId="29" borderId="0" xfId="0" applyFont="1" applyFill="1"/>
    <xf numFmtId="0" fontId="14" fillId="29" borderId="0" xfId="0" applyFont="1" applyFill="1" applyAlignment="1">
      <alignment horizontal="center" vertical="center"/>
    </xf>
    <xf numFmtId="0" fontId="5" fillId="29" borderId="0" xfId="0" applyFont="1" applyFill="1" applyAlignment="1">
      <alignment vertical="center" wrapText="1" shrinkToFit="1"/>
    </xf>
    <xf numFmtId="0" fontId="6" fillId="29" borderId="0" xfId="0" applyFont="1" applyFill="1" applyAlignment="1">
      <alignment vertical="center"/>
    </xf>
    <xf numFmtId="0" fontId="0" fillId="29" borderId="0" xfId="0" applyFill="1"/>
    <xf numFmtId="0" fontId="4" fillId="29" borderId="3" xfId="246" applyFont="1" applyFill="1" applyBorder="1" applyAlignment="1">
      <alignment horizontal="left" vertical="center" wrapText="1"/>
    </xf>
    <xf numFmtId="0" fontId="73" fillId="29" borderId="3" xfId="0" quotePrefix="1" applyFont="1" applyFill="1" applyBorder="1" applyAlignment="1">
      <alignment horizontal="center" vertical="center"/>
    </xf>
    <xf numFmtId="49" fontId="73" fillId="29" borderId="3" xfId="0" quotePrefix="1" applyNumberFormat="1" applyFont="1" applyFill="1" applyBorder="1" applyAlignment="1">
      <alignment horizontal="left" vertical="center" wrapText="1"/>
    </xf>
    <xf numFmtId="0" fontId="78" fillId="29" borderId="3" xfId="0" quotePrefix="1" applyFont="1" applyFill="1" applyBorder="1" applyAlignment="1">
      <alignment horizontal="center" vertical="center"/>
    </xf>
    <xf numFmtId="49" fontId="78" fillId="29" borderId="3" xfId="0" quotePrefix="1" applyNumberFormat="1" applyFont="1" applyFill="1" applyBorder="1" applyAlignment="1">
      <alignment horizontal="left" vertical="center" wrapText="1"/>
    </xf>
    <xf numFmtId="0" fontId="73" fillId="29" borderId="0" xfId="0" applyFont="1" applyFill="1" applyAlignment="1">
      <alignment horizontal="left" vertical="center" wrapText="1"/>
    </xf>
    <xf numFmtId="0" fontId="73" fillId="29" borderId="0" xfId="0" quotePrefix="1" applyFont="1" applyFill="1" applyAlignment="1">
      <alignment horizontal="center"/>
    </xf>
    <xf numFmtId="0" fontId="78" fillId="29" borderId="19" xfId="0" applyFont="1" applyFill="1" applyBorder="1" applyAlignment="1">
      <alignment horizontal="left" vertical="center" wrapText="1"/>
    </xf>
    <xf numFmtId="0" fontId="74" fillId="29" borderId="15" xfId="246" applyFont="1" applyFill="1" applyBorder="1" applyAlignment="1">
      <alignment horizontal="left" vertical="center" wrapText="1"/>
    </xf>
    <xf numFmtId="0" fontId="74" fillId="29" borderId="19" xfId="0" applyFont="1" applyFill="1" applyBorder="1" applyAlignment="1">
      <alignment horizontal="left" vertical="center" wrapText="1"/>
    </xf>
    <xf numFmtId="0" fontId="73" fillId="29" borderId="17" xfId="246" applyFont="1" applyFill="1" applyBorder="1" applyAlignment="1">
      <alignment horizontal="left" vertical="center" wrapText="1"/>
    </xf>
    <xf numFmtId="0" fontId="73" fillId="29" borderId="16" xfId="246" applyFont="1" applyFill="1" applyBorder="1" applyAlignment="1">
      <alignment horizontal="left" vertical="center" wrapText="1"/>
    </xf>
    <xf numFmtId="0" fontId="73" fillId="29" borderId="19" xfId="0" applyFont="1" applyFill="1" applyBorder="1" applyAlignment="1">
      <alignment horizontal="left" vertical="center" wrapText="1"/>
    </xf>
    <xf numFmtId="0" fontId="73" fillId="29" borderId="19" xfId="0" quotePrefix="1" applyFont="1" applyFill="1" applyBorder="1" applyAlignment="1">
      <alignment horizontal="center" vertical="center"/>
    </xf>
    <xf numFmtId="0" fontId="78" fillId="29" borderId="19" xfId="0" quotePrefix="1" applyFont="1" applyFill="1" applyBorder="1" applyAlignment="1">
      <alignment horizontal="center" vertical="center"/>
    </xf>
    <xf numFmtId="0" fontId="78" fillId="29" borderId="0" xfId="0" applyFont="1" applyFill="1" applyAlignment="1">
      <alignment vertical="center"/>
    </xf>
    <xf numFmtId="0" fontId="73" fillId="29" borderId="0" xfId="0" quotePrefix="1" applyFont="1" applyFill="1" applyAlignment="1">
      <alignment horizontal="center" vertical="center"/>
    </xf>
    <xf numFmtId="0" fontId="73" fillId="29" borderId="3" xfId="238" applyFont="1" applyFill="1" applyBorder="1" applyAlignment="1">
      <alignment horizontal="left" vertical="center"/>
    </xf>
    <xf numFmtId="0" fontId="78" fillId="29" borderId="0" xfId="0" applyFont="1" applyFill="1" applyAlignment="1">
      <alignment horizontal="left" vertical="center" wrapText="1"/>
    </xf>
    <xf numFmtId="3" fontId="78" fillId="29" borderId="0" xfId="0" applyNumberFormat="1" applyFont="1" applyFill="1" applyAlignment="1">
      <alignment horizontal="center" vertical="center" wrapText="1"/>
    </xf>
    <xf numFmtId="0" fontId="78" fillId="29" borderId="0" xfId="0" applyFont="1" applyFill="1" applyAlignment="1">
      <alignment horizontal="left" vertical="center" wrapText="1" shrinkToFit="1"/>
    </xf>
    <xf numFmtId="0" fontId="76" fillId="29" borderId="0" xfId="0" applyFont="1" applyFill="1" applyAlignment="1">
      <alignment horizontal="left" vertical="center" wrapText="1"/>
    </xf>
    <xf numFmtId="178" fontId="73" fillId="29" borderId="3" xfId="0" applyNumberFormat="1" applyFont="1" applyFill="1" applyBorder="1" applyAlignment="1">
      <alignment horizontal="center" vertical="center" wrapText="1"/>
    </xf>
    <xf numFmtId="0" fontId="73" fillId="29" borderId="3" xfId="0" applyFont="1" applyFill="1" applyBorder="1" applyAlignment="1">
      <alignment horizontal="left" vertical="center"/>
    </xf>
    <xf numFmtId="0" fontId="73" fillId="29" borderId="0" xfId="0" applyFont="1" applyFill="1" applyAlignment="1">
      <alignment horizontal="left" vertical="center"/>
    </xf>
    <xf numFmtId="0" fontId="74" fillId="29" borderId="0" xfId="0" applyFont="1" applyFill="1" applyAlignment="1">
      <alignment horizontal="left" vertical="center"/>
    </xf>
    <xf numFmtId="0" fontId="78" fillId="29" borderId="13" xfId="0" applyFont="1" applyFill="1" applyBorder="1" applyAlignment="1">
      <alignment vertical="center"/>
    </xf>
    <xf numFmtId="169" fontId="73" fillId="29" borderId="0" xfId="0" applyNumberFormat="1" applyFont="1" applyFill="1" applyAlignment="1">
      <alignment horizontal="right" vertical="center"/>
    </xf>
    <xf numFmtId="0" fontId="80" fillId="29" borderId="0" xfId="0" applyFont="1" applyFill="1" applyAlignment="1">
      <alignment vertical="center"/>
    </xf>
    <xf numFmtId="0" fontId="76" fillId="29" borderId="0" xfId="0" applyFont="1" applyFill="1" applyAlignment="1">
      <alignment horizontal="center" vertical="center"/>
    </xf>
    <xf numFmtId="173" fontId="76" fillId="29" borderId="0" xfId="0" applyNumberFormat="1" applyFont="1" applyFill="1" applyAlignment="1">
      <alignment horizontal="center" vertical="center" wrapText="1"/>
    </xf>
    <xf numFmtId="169" fontId="76" fillId="29" borderId="0" xfId="207" applyNumberFormat="1" applyFont="1" applyFill="1" applyBorder="1" applyAlignment="1">
      <alignment horizontal="right" vertical="center" wrapText="1"/>
    </xf>
    <xf numFmtId="179" fontId="5" fillId="29" borderId="3" xfId="0" applyNumberFormat="1" applyFont="1" applyFill="1" applyBorder="1" applyAlignment="1">
      <alignment horizontal="center" vertical="center" wrapText="1"/>
    </xf>
    <xf numFmtId="0" fontId="73" fillId="29" borderId="3" xfId="0" applyFont="1" applyFill="1" applyBorder="1" applyAlignment="1">
      <alignment vertical="center" wrapText="1"/>
    </xf>
    <xf numFmtId="179" fontId="78" fillId="29" borderId="3" xfId="0" applyNumberFormat="1" applyFont="1" applyFill="1" applyBorder="1" applyAlignment="1">
      <alignment horizontal="center" vertical="center" wrapText="1"/>
    </xf>
    <xf numFmtId="0" fontId="83" fillId="29" borderId="3" xfId="182" applyFont="1" applyFill="1" applyBorder="1" applyAlignment="1">
      <alignment horizontal="left" vertical="center" wrapText="1"/>
      <protection locked="0"/>
    </xf>
    <xf numFmtId="0" fontId="84" fillId="29" borderId="3" xfId="0" applyFont="1" applyFill="1" applyBorder="1" applyAlignment="1">
      <alignment horizontal="center" vertical="center" wrapText="1"/>
    </xf>
    <xf numFmtId="179" fontId="83" fillId="29" borderId="3" xfId="0" applyNumberFormat="1" applyFont="1" applyFill="1" applyBorder="1" applyAlignment="1">
      <alignment horizontal="center" vertical="center" wrapText="1"/>
    </xf>
    <xf numFmtId="0" fontId="83" fillId="29" borderId="3" xfId="0" applyFont="1" applyFill="1" applyBorder="1" applyAlignment="1" applyProtection="1">
      <alignment horizontal="left" vertical="center" wrapText="1"/>
      <protection locked="0"/>
    </xf>
    <xf numFmtId="0" fontId="84" fillId="29" borderId="3" xfId="246" applyFont="1" applyFill="1" applyBorder="1" applyAlignment="1">
      <alignment horizontal="left" vertical="center" wrapText="1"/>
    </xf>
    <xf numFmtId="0" fontId="84" fillId="29" borderId="3" xfId="0" applyFont="1" applyFill="1" applyBorder="1" applyAlignment="1">
      <alignment horizontal="center" vertical="center"/>
    </xf>
    <xf numFmtId="179" fontId="84" fillId="29" borderId="3" xfId="0" applyNumberFormat="1" applyFont="1" applyFill="1" applyBorder="1" applyAlignment="1">
      <alignment horizontal="center" vertical="center" wrapText="1"/>
    </xf>
    <xf numFmtId="0" fontId="84" fillId="29" borderId="3" xfId="246" applyFont="1" applyFill="1" applyBorder="1" applyAlignment="1">
      <alignment horizontal="center" vertical="center"/>
    </xf>
    <xf numFmtId="0" fontId="83" fillId="29" borderId="19" xfId="0" applyFont="1" applyFill="1" applyBorder="1" applyAlignment="1" applyProtection="1">
      <alignment horizontal="left" vertical="center" wrapText="1"/>
      <protection locked="0"/>
    </xf>
    <xf numFmtId="0" fontId="84" fillId="29" borderId="3" xfId="0" quotePrefix="1" applyFont="1" applyFill="1" applyBorder="1" applyAlignment="1">
      <alignment horizontal="center" vertical="center"/>
    </xf>
    <xf numFmtId="0" fontId="84" fillId="29" borderId="3" xfId="0" applyFont="1" applyFill="1" applyBorder="1" applyAlignment="1" applyProtection="1">
      <alignment horizontal="left" vertical="center" wrapText="1"/>
      <protection locked="0"/>
    </xf>
    <xf numFmtId="0" fontId="84" fillId="29" borderId="14" xfId="0" quotePrefix="1" applyFont="1" applyFill="1" applyBorder="1" applyAlignment="1">
      <alignment horizontal="center" vertical="center"/>
    </xf>
    <xf numFmtId="49" fontId="84" fillId="29" borderId="3" xfId="0" applyNumberFormat="1" applyFont="1" applyFill="1" applyBorder="1" applyAlignment="1">
      <alignment horizontal="center" vertical="center"/>
    </xf>
    <xf numFmtId="179" fontId="4" fillId="29" borderId="3" xfId="0" applyNumberFormat="1" applyFont="1" applyFill="1" applyBorder="1" applyAlignment="1">
      <alignment horizontal="center" vertical="center" wrapText="1"/>
    </xf>
    <xf numFmtId="0" fontId="5" fillId="29" borderId="3" xfId="0" quotePrefix="1" applyFont="1" applyFill="1" applyBorder="1" applyAlignment="1">
      <alignment horizontal="center" vertical="center"/>
    </xf>
    <xf numFmtId="179" fontId="78" fillId="29" borderId="19" xfId="0" applyNumberFormat="1" applyFont="1" applyFill="1" applyBorder="1" applyAlignment="1">
      <alignment horizontal="right" vertical="center" wrapText="1"/>
    </xf>
    <xf numFmtId="179" fontId="73" fillId="29" borderId="19" xfId="0" applyNumberFormat="1" applyFont="1" applyFill="1" applyBorder="1" applyAlignment="1">
      <alignment horizontal="right" vertical="center" wrapText="1"/>
    </xf>
    <xf numFmtId="179" fontId="78" fillId="29" borderId="3" xfId="0" applyNumberFormat="1" applyFont="1" applyFill="1" applyBorder="1" applyAlignment="1">
      <alignment horizontal="right" vertical="center" wrapText="1"/>
    </xf>
    <xf numFmtId="0" fontId="5" fillId="29" borderId="0" xfId="0" applyFont="1" applyFill="1" applyAlignment="1">
      <alignment horizontal="center" vertical="center" wrapText="1"/>
    </xf>
    <xf numFmtId="0" fontId="9" fillId="29" borderId="3" xfId="0" applyFont="1" applyFill="1" applyBorder="1" applyAlignment="1">
      <alignment horizontal="center" vertical="center" wrapText="1"/>
    </xf>
    <xf numFmtId="0" fontId="9" fillId="29" borderId="3" xfId="0" applyFont="1" applyFill="1" applyBorder="1" applyAlignment="1">
      <alignment horizontal="center" vertical="center" wrapText="1" shrinkToFit="1"/>
    </xf>
    <xf numFmtId="0" fontId="5" fillId="29" borderId="14" xfId="0" applyFont="1" applyFill="1" applyBorder="1" applyAlignment="1">
      <alignment horizontal="center" vertical="center" wrapText="1"/>
    </xf>
    <xf numFmtId="0" fontId="5" fillId="29" borderId="14" xfId="0" applyFont="1" applyFill="1" applyBorder="1" applyAlignment="1">
      <alignment horizontal="center" vertical="center" wrapText="1" shrinkToFit="1"/>
    </xf>
    <xf numFmtId="49" fontId="78" fillId="29" borderId="3" xfId="0" applyNumberFormat="1" applyFont="1" applyFill="1" applyBorder="1" applyAlignment="1">
      <alignment horizontal="left" vertical="center" wrapText="1"/>
    </xf>
    <xf numFmtId="0" fontId="78" fillId="29" borderId="14" xfId="0" applyFont="1" applyFill="1" applyBorder="1" applyAlignment="1">
      <alignment horizontal="center" vertical="center" wrapText="1"/>
    </xf>
    <xf numFmtId="0" fontId="5" fillId="29" borderId="0" xfId="0" applyFont="1" applyFill="1" applyAlignment="1">
      <alignment horizontal="left" vertical="center"/>
    </xf>
    <xf numFmtId="170" fontId="5" fillId="29" borderId="0" xfId="0" applyNumberFormat="1" applyFont="1" applyFill="1" applyAlignment="1">
      <alignment horizontal="center" vertical="center" wrapText="1"/>
    </xf>
    <xf numFmtId="170" fontId="78" fillId="29" borderId="0" xfId="0" applyNumberFormat="1" applyFont="1" applyFill="1" applyAlignment="1">
      <alignment horizontal="center" vertical="center" wrapText="1"/>
    </xf>
    <xf numFmtId="0" fontId="4" fillId="29" borderId="0" xfId="0" applyFont="1" applyFill="1" applyAlignment="1">
      <alignment horizontal="center" vertical="center"/>
    </xf>
    <xf numFmtId="0" fontId="78" fillId="29" borderId="15" xfId="0" applyFont="1" applyFill="1" applyBorder="1" applyAlignment="1">
      <alignment vertical="center"/>
    </xf>
    <xf numFmtId="0" fontId="78" fillId="29" borderId="19" xfId="182" applyFont="1" applyFill="1" applyBorder="1" applyAlignment="1">
      <alignment horizontal="left" vertical="center" wrapText="1"/>
      <protection locked="0"/>
    </xf>
    <xf numFmtId="0" fontId="78" fillId="29" borderId="19" xfId="0" applyFont="1" applyFill="1" applyBorder="1" applyAlignment="1">
      <alignment horizontal="center" vertical="center" wrapText="1"/>
    </xf>
    <xf numFmtId="0" fontId="4" fillId="29" borderId="0" xfId="0" applyFont="1" applyFill="1" applyAlignment="1" applyProtection="1">
      <alignment horizontal="left" vertical="center"/>
      <protection locked="0"/>
    </xf>
    <xf numFmtId="0" fontId="5" fillId="29" borderId="0" xfId="0" applyFont="1" applyFill="1" applyAlignment="1">
      <alignment vertical="center" wrapText="1"/>
    </xf>
    <xf numFmtId="0" fontId="5" fillId="29" borderId="0" xfId="0" applyFont="1" applyFill="1" applyAlignment="1">
      <alignment vertical="top"/>
    </xf>
    <xf numFmtId="0" fontId="78" fillId="29" borderId="17" xfId="0" applyFont="1" applyFill="1" applyBorder="1" applyAlignment="1">
      <alignment vertical="center" wrapText="1"/>
    </xf>
    <xf numFmtId="0" fontId="84" fillId="29" borderId="0" xfId="0" applyFont="1" applyFill="1" applyAlignment="1" applyProtection="1">
      <alignment horizontal="left" vertical="center" wrapText="1"/>
      <protection locked="0"/>
    </xf>
    <xf numFmtId="0" fontId="84" fillId="29" borderId="0" xfId="0" quotePrefix="1" applyFont="1" applyFill="1" applyAlignment="1">
      <alignment horizontal="center" vertical="center"/>
    </xf>
    <xf numFmtId="173" fontId="84" fillId="29" borderId="0" xfId="0" applyNumberFormat="1" applyFont="1" applyFill="1" applyAlignment="1">
      <alignment horizontal="center" vertical="center" wrapText="1"/>
    </xf>
    <xf numFmtId="173" fontId="78" fillId="29" borderId="0" xfId="0" applyNumberFormat="1" applyFont="1" applyFill="1" applyAlignment="1">
      <alignment horizontal="center" vertical="center" wrapText="1"/>
    </xf>
    <xf numFmtId="179" fontId="78" fillId="29" borderId="0" xfId="0" applyNumberFormat="1" applyFont="1" applyFill="1" applyAlignment="1">
      <alignment horizontal="right" vertical="center" wrapText="1"/>
    </xf>
    <xf numFmtId="0" fontId="5" fillId="29" borderId="0" xfId="246" applyFont="1" applyFill="1" applyAlignment="1">
      <alignment vertical="center"/>
    </xf>
    <xf numFmtId="0" fontId="4" fillId="29" borderId="0" xfId="246" applyFont="1" applyFill="1" applyAlignment="1">
      <alignment horizontal="right" vertical="center"/>
    </xf>
    <xf numFmtId="0" fontId="4" fillId="29" borderId="0" xfId="246" applyFont="1" applyFill="1" applyAlignment="1">
      <alignment vertical="center"/>
    </xf>
    <xf numFmtId="0" fontId="9" fillId="29" borderId="0" xfId="0" applyFont="1" applyFill="1" applyAlignment="1">
      <alignment vertical="top"/>
    </xf>
    <xf numFmtId="0" fontId="14" fillId="29" borderId="0" xfId="246" applyFont="1" applyFill="1"/>
    <xf numFmtId="0" fontId="9" fillId="29" borderId="0" xfId="0" applyFont="1" applyFill="1" applyAlignment="1">
      <alignment horizontal="center" vertical="center" wrapText="1"/>
    </xf>
    <xf numFmtId="0" fontId="5" fillId="29" borderId="0" xfId="0" applyFont="1" applyFill="1" applyAlignment="1">
      <alignment horizontal="center" wrapText="1"/>
    </xf>
    <xf numFmtId="0" fontId="4" fillId="29" borderId="0" xfId="0" applyFont="1" applyFill="1" applyAlignment="1">
      <alignment horizontal="left" vertical="center" wrapText="1"/>
    </xf>
    <xf numFmtId="0" fontId="4" fillId="29" borderId="13" xfId="0" applyFont="1" applyFill="1" applyBorder="1" applyAlignment="1">
      <alignment horizontal="left" vertical="center" wrapText="1"/>
    </xf>
    <xf numFmtId="0" fontId="5" fillId="29" borderId="13" xfId="0" applyFont="1" applyFill="1" applyBorder="1" applyAlignment="1">
      <alignment horizontal="right" vertical="center" wrapText="1"/>
    </xf>
    <xf numFmtId="0" fontId="4" fillId="29" borderId="0" xfId="0" applyFont="1" applyFill="1" applyAlignment="1">
      <alignment horizontal="left" vertical="top"/>
    </xf>
    <xf numFmtId="0" fontId="4" fillId="29" borderId="3" xfId="0" quotePrefix="1" applyFont="1" applyFill="1" applyBorder="1" applyAlignment="1">
      <alignment horizontal="center" vertical="center"/>
    </xf>
    <xf numFmtId="173" fontId="5" fillId="29" borderId="0" xfId="0" applyNumberFormat="1" applyFont="1" applyFill="1" applyAlignment="1">
      <alignment horizontal="right" vertical="center"/>
    </xf>
    <xf numFmtId="0" fontId="78" fillId="29" borderId="17" xfId="0" applyFont="1" applyFill="1" applyBorder="1" applyAlignment="1">
      <alignment vertical="center"/>
    </xf>
    <xf numFmtId="0" fontId="78" fillId="29" borderId="16" xfId="0" applyFont="1" applyFill="1" applyBorder="1" applyAlignment="1">
      <alignment vertical="center"/>
    </xf>
    <xf numFmtId="0" fontId="78" fillId="29" borderId="3" xfId="0" applyFont="1" applyFill="1" applyBorder="1" applyAlignment="1">
      <alignment horizontal="left" vertical="center"/>
    </xf>
    <xf numFmtId="0" fontId="78" fillId="29" borderId="16" xfId="0" applyFont="1" applyFill="1" applyBorder="1" applyAlignment="1">
      <alignment horizontal="right" vertical="center"/>
    </xf>
    <xf numFmtId="0" fontId="78" fillId="29" borderId="17" xfId="0" applyFont="1" applyFill="1" applyBorder="1" applyAlignment="1">
      <alignment horizontal="right" vertical="center"/>
    </xf>
    <xf numFmtId="0" fontId="78" fillId="29" borderId="3" xfId="0" applyFont="1" applyFill="1" applyBorder="1" applyAlignment="1">
      <alignment vertical="center"/>
    </xf>
    <xf numFmtId="0" fontId="78" fillId="29" borderId="36" xfId="0" applyFont="1" applyFill="1" applyBorder="1" applyAlignment="1">
      <alignment horizontal="right" vertical="center"/>
    </xf>
    <xf numFmtId="0" fontId="78" fillId="29" borderId="36" xfId="0" applyFont="1" applyFill="1" applyBorder="1" applyAlignment="1">
      <alignment vertical="center"/>
    </xf>
    <xf numFmtId="169" fontId="78" fillId="29" borderId="3" xfId="0" applyNumberFormat="1" applyFont="1" applyFill="1" applyBorder="1" applyAlignment="1">
      <alignment horizontal="right" vertical="center"/>
    </xf>
    <xf numFmtId="169" fontId="73" fillId="29" borderId="3" xfId="0" applyNumberFormat="1" applyFont="1" applyFill="1" applyBorder="1" applyAlignment="1">
      <alignment horizontal="right" vertical="center"/>
    </xf>
    <xf numFmtId="0" fontId="72" fillId="29" borderId="0" xfId="0" applyFont="1" applyFill="1" applyAlignment="1">
      <alignment horizontal="center" vertical="center"/>
    </xf>
    <xf numFmtId="0" fontId="72" fillId="29" borderId="0" xfId="0" applyFont="1" applyFill="1" applyAlignment="1">
      <alignment vertical="center"/>
    </xf>
    <xf numFmtId="0" fontId="73" fillId="29" borderId="17" xfId="0" applyFont="1" applyFill="1" applyBorder="1" applyAlignment="1">
      <alignment horizontal="center" vertical="center" wrapText="1"/>
    </xf>
    <xf numFmtId="179" fontId="4" fillId="29" borderId="3" xfId="207" applyNumberFormat="1" applyFont="1" applyFill="1" applyBorder="1" applyAlignment="1">
      <alignment horizontal="right" vertical="center" wrapText="1"/>
    </xf>
    <xf numFmtId="0" fontId="83" fillId="29" borderId="3" xfId="0" applyFont="1" applyFill="1" applyBorder="1" applyAlignment="1">
      <alignment horizontal="center" vertical="center" wrapText="1"/>
    </xf>
    <xf numFmtId="0" fontId="83" fillId="29" borderId="37" xfId="0" applyFont="1" applyFill="1" applyBorder="1" applyAlignment="1" applyProtection="1">
      <alignment horizontal="left" vertical="center" wrapText="1"/>
      <protection locked="0"/>
    </xf>
    <xf numFmtId="0" fontId="84" fillId="29" borderId="40" xfId="0" applyFont="1" applyFill="1" applyBorder="1" applyAlignment="1" applyProtection="1">
      <alignment horizontal="left" vertical="center" wrapText="1"/>
      <protection locked="0"/>
    </xf>
    <xf numFmtId="0" fontId="83" fillId="29" borderId="40" xfId="0" applyFont="1" applyFill="1" applyBorder="1" applyAlignment="1" applyProtection="1">
      <alignment horizontal="left" vertical="center" wrapText="1"/>
      <protection locked="0"/>
    </xf>
    <xf numFmtId="0" fontId="84" fillId="29" borderId="41" xfId="0" applyFont="1" applyFill="1" applyBorder="1" applyAlignment="1" applyProtection="1">
      <alignment horizontal="left" vertical="center" wrapText="1"/>
      <protection locked="0"/>
    </xf>
    <xf numFmtId="0" fontId="84" fillId="29" borderId="42" xfId="0" quotePrefix="1" applyFont="1" applyFill="1" applyBorder="1" applyAlignment="1">
      <alignment horizontal="center" vertical="center"/>
    </xf>
    <xf numFmtId="0" fontId="83" fillId="29" borderId="38" xfId="0" quotePrefix="1" applyFont="1" applyFill="1" applyBorder="1" applyAlignment="1">
      <alignment horizontal="center" vertical="center"/>
    </xf>
    <xf numFmtId="0" fontId="73" fillId="29" borderId="3" xfId="0" applyFont="1" applyFill="1" applyBorder="1" applyAlignment="1" applyProtection="1">
      <alignment horizontal="left" vertical="center" wrapText="1"/>
      <protection locked="0"/>
    </xf>
    <xf numFmtId="0" fontId="78" fillId="29" borderId="14" xfId="0" quotePrefix="1" applyFont="1" applyFill="1" applyBorder="1" applyAlignment="1">
      <alignment horizontal="center" vertical="center"/>
    </xf>
    <xf numFmtId="0" fontId="78" fillId="29" borderId="3" xfId="0" applyFont="1" applyFill="1" applyBorder="1" applyAlignment="1" applyProtection="1">
      <alignment horizontal="left" vertical="center" wrapText="1"/>
      <protection locked="0"/>
    </xf>
    <xf numFmtId="0" fontId="73" fillId="29" borderId="19" xfId="0" applyFont="1" applyFill="1" applyBorder="1" applyAlignment="1" applyProtection="1">
      <alignment horizontal="left" vertical="center" wrapText="1"/>
      <protection locked="0"/>
    </xf>
    <xf numFmtId="178" fontId="78" fillId="29" borderId="19" xfId="0" applyNumberFormat="1" applyFont="1" applyFill="1" applyBorder="1" applyAlignment="1">
      <alignment horizontal="right" vertical="center" wrapText="1"/>
    </xf>
    <xf numFmtId="178" fontId="73" fillId="29" borderId="19" xfId="0" applyNumberFormat="1" applyFont="1" applyFill="1" applyBorder="1" applyAlignment="1">
      <alignment horizontal="right" vertical="center" wrapText="1"/>
    </xf>
    <xf numFmtId="178" fontId="84" fillId="29" borderId="3" xfId="0" applyNumberFormat="1" applyFont="1" applyFill="1" applyBorder="1" applyAlignment="1">
      <alignment horizontal="center" vertical="center" wrapText="1"/>
    </xf>
    <xf numFmtId="178" fontId="78" fillId="29" borderId="3" xfId="0" applyNumberFormat="1" applyFont="1" applyFill="1" applyBorder="1" applyAlignment="1">
      <alignment horizontal="center" vertical="center" wrapText="1"/>
    </xf>
    <xf numFmtId="178" fontId="84" fillId="29" borderId="19" xfId="0" applyNumberFormat="1" applyFont="1" applyFill="1" applyBorder="1" applyAlignment="1">
      <alignment horizontal="center" vertical="center" wrapText="1"/>
    </xf>
    <xf numFmtId="178" fontId="73" fillId="29" borderId="39" xfId="0" applyNumberFormat="1" applyFont="1" applyFill="1" applyBorder="1" applyAlignment="1">
      <alignment horizontal="right" vertical="center" wrapText="1"/>
    </xf>
    <xf numFmtId="178" fontId="78" fillId="29" borderId="43" xfId="0" applyNumberFormat="1" applyFont="1" applyFill="1" applyBorder="1" applyAlignment="1">
      <alignment horizontal="right" vertical="center" wrapText="1"/>
    </xf>
    <xf numFmtId="170" fontId="4" fillId="29" borderId="3" xfId="0" applyNumberFormat="1" applyFont="1" applyFill="1" applyBorder="1" applyAlignment="1">
      <alignment horizontal="center" vertical="center" wrapText="1"/>
    </xf>
    <xf numFmtId="0" fontId="5" fillId="29" borderId="3" xfId="0" applyFont="1" applyFill="1" applyBorder="1" applyAlignment="1" applyProtection="1">
      <alignment horizontal="center" vertical="center" wrapText="1"/>
      <protection locked="0"/>
    </xf>
    <xf numFmtId="49" fontId="5" fillId="29" borderId="3" xfId="0" applyNumberFormat="1" applyFont="1" applyFill="1" applyBorder="1" applyAlignment="1">
      <alignment horizontal="left" vertical="center" wrapText="1" shrinkToFit="1"/>
    </xf>
    <xf numFmtId="170" fontId="5" fillId="29" borderId="3" xfId="0" applyNumberFormat="1" applyFont="1" applyFill="1" applyBorder="1" applyAlignment="1">
      <alignment horizontal="center" vertical="center" wrapText="1"/>
    </xf>
    <xf numFmtId="49" fontId="5" fillId="29" borderId="3" xfId="0" applyNumberFormat="1" applyFont="1" applyFill="1" applyBorder="1" applyAlignment="1">
      <alignment horizontal="justify" vertical="center" shrinkToFit="1"/>
    </xf>
    <xf numFmtId="49" fontId="5" fillId="29" borderId="3" xfId="0" applyNumberFormat="1" applyFont="1" applyFill="1" applyBorder="1" applyAlignment="1">
      <alignment horizontal="left" vertical="center" wrapText="1"/>
    </xf>
    <xf numFmtId="49" fontId="5" fillId="29" borderId="3" xfId="0" applyNumberFormat="1" applyFont="1" applyFill="1" applyBorder="1" applyAlignment="1">
      <alignment horizontal="left" vertical="center" shrinkToFit="1"/>
    </xf>
    <xf numFmtId="49" fontId="5" fillId="29" borderId="3" xfId="0" applyNumberFormat="1" applyFont="1" applyFill="1" applyBorder="1" applyAlignment="1">
      <alignment vertical="center" wrapText="1"/>
    </xf>
    <xf numFmtId="0" fontId="5" fillId="29" borderId="0" xfId="0" applyFont="1" applyFill="1" applyAlignment="1" applyProtection="1">
      <alignment vertical="center" wrapText="1"/>
      <protection locked="0"/>
    </xf>
    <xf numFmtId="0" fontId="5" fillId="29" borderId="3" xfId="0" applyFont="1" applyFill="1" applyBorder="1" applyAlignment="1">
      <alignment horizontal="justify" vertical="center" shrinkToFit="1"/>
    </xf>
    <xf numFmtId="49" fontId="5" fillId="29" borderId="3" xfId="0" applyNumberFormat="1" applyFont="1" applyFill="1" applyBorder="1" applyAlignment="1" applyProtection="1">
      <alignment horizontal="center" vertical="center" wrapText="1"/>
      <protection locked="0"/>
    </xf>
    <xf numFmtId="49" fontId="5" fillId="29" borderId="3" xfId="354" applyNumberFormat="1" applyFont="1" applyFill="1" applyBorder="1" applyAlignment="1">
      <alignment horizontal="justify" vertical="center" wrapText="1"/>
    </xf>
    <xf numFmtId="170" fontId="72" fillId="29" borderId="3" xfId="0" applyNumberFormat="1" applyFont="1" applyFill="1" applyBorder="1" applyAlignment="1">
      <alignment vertical="center" wrapText="1"/>
    </xf>
    <xf numFmtId="170" fontId="78" fillId="29" borderId="0" xfId="0" quotePrefix="1" applyNumberFormat="1" applyFont="1" applyFill="1" applyAlignment="1" applyProtection="1">
      <alignment vertical="center" wrapText="1"/>
      <protection locked="0"/>
    </xf>
    <xf numFmtId="0" fontId="5" fillId="29" borderId="3" xfId="0" applyFont="1" applyFill="1" applyBorder="1" applyAlignment="1">
      <alignment horizontal="center" vertical="center" wrapText="1" shrinkToFit="1"/>
    </xf>
    <xf numFmtId="0" fontId="90" fillId="29" borderId="0" xfId="0" applyFont="1" applyFill="1" applyAlignment="1">
      <alignment vertical="center"/>
    </xf>
    <xf numFmtId="49" fontId="92" fillId="29" borderId="3" xfId="0" applyNumberFormat="1" applyFont="1" applyFill="1" applyBorder="1" applyAlignment="1">
      <alignment vertical="center" wrapText="1"/>
    </xf>
    <xf numFmtId="0" fontId="5" fillId="29" borderId="3" xfId="0" applyFont="1" applyFill="1" applyBorder="1" applyAlignment="1">
      <alignment vertical="center" wrapText="1" shrinkToFit="1"/>
    </xf>
    <xf numFmtId="0" fontId="72" fillId="29" borderId="3" xfId="0" applyFont="1" applyFill="1" applyBorder="1" applyAlignment="1">
      <alignment vertical="center"/>
    </xf>
    <xf numFmtId="49" fontId="5" fillId="29" borderId="19" xfId="0" applyNumberFormat="1" applyFont="1" applyFill="1" applyBorder="1" applyAlignment="1">
      <alignment horizontal="left" vertical="center" wrapText="1"/>
    </xf>
    <xf numFmtId="170" fontId="72" fillId="29" borderId="0" xfId="0" applyNumberFormat="1" applyFont="1" applyFill="1" applyAlignment="1">
      <alignment horizontal="right" vertical="center" wrapText="1"/>
    </xf>
    <xf numFmtId="0" fontId="92" fillId="29" borderId="3" xfId="0" applyFont="1" applyFill="1" applyBorder="1" applyAlignment="1">
      <alignment vertical="center" wrapText="1"/>
    </xf>
    <xf numFmtId="0" fontId="6" fillId="29" borderId="3" xfId="0" applyFont="1" applyFill="1" applyBorder="1" applyAlignment="1">
      <alignment horizontal="left" vertical="center" wrapText="1"/>
    </xf>
    <xf numFmtId="0" fontId="93" fillId="29" borderId="3" xfId="0" applyFont="1" applyFill="1" applyBorder="1" applyAlignment="1">
      <alignment horizontal="center" vertical="center" wrapText="1"/>
    </xf>
    <xf numFmtId="0" fontId="72" fillId="29" borderId="0" xfId="0" applyFont="1" applyFill="1" applyAlignment="1">
      <alignment horizontal="left" vertical="center" wrapText="1"/>
    </xf>
    <xf numFmtId="0" fontId="80" fillId="29" borderId="0" xfId="246" applyFont="1" applyFill="1" applyAlignment="1">
      <alignment vertical="center"/>
    </xf>
    <xf numFmtId="170" fontId="81" fillId="29" borderId="3" xfId="0" applyNumberFormat="1" applyFont="1" applyFill="1" applyBorder="1" applyAlignment="1">
      <alignment horizontal="center" vertical="center" wrapText="1"/>
    </xf>
    <xf numFmtId="0" fontId="5" fillId="29" borderId="3" xfId="354" applyFont="1" applyFill="1" applyBorder="1" applyAlignment="1">
      <alignment horizontal="justify" vertical="center" wrapText="1"/>
    </xf>
    <xf numFmtId="0" fontId="6" fillId="29" borderId="3" xfId="0" quotePrefix="1" applyFont="1" applyFill="1" applyBorder="1" applyAlignment="1">
      <alignment horizontal="center" vertical="center"/>
    </xf>
    <xf numFmtId="0" fontId="73" fillId="29" borderId="0" xfId="0" applyFont="1" applyFill="1" applyAlignment="1">
      <alignment vertical="center"/>
    </xf>
    <xf numFmtId="49" fontId="5" fillId="29" borderId="3" xfId="0" applyNumberFormat="1" applyFont="1" applyFill="1" applyBorder="1" applyAlignment="1">
      <alignment horizontal="center" vertical="center" wrapText="1"/>
    </xf>
    <xf numFmtId="0" fontId="5" fillId="29" borderId="16" xfId="0" quotePrefix="1" applyFont="1" applyFill="1" applyBorder="1" applyAlignment="1">
      <alignment horizontal="center" vertical="center"/>
    </xf>
    <xf numFmtId="49" fontId="5" fillId="29" borderId="15" xfId="0" applyNumberFormat="1" applyFont="1" applyFill="1" applyBorder="1" applyAlignment="1">
      <alignment horizontal="center" vertical="center" wrapText="1"/>
    </xf>
    <xf numFmtId="0" fontId="84" fillId="29" borderId="0" xfId="0" applyFont="1" applyFill="1" applyAlignment="1">
      <alignment horizontal="center" vertical="center"/>
    </xf>
    <xf numFmtId="177" fontId="83" fillId="29" borderId="3" xfId="0" applyNumberFormat="1" applyFont="1" applyFill="1" applyBorder="1" applyAlignment="1">
      <alignment horizontal="center" vertical="center" wrapText="1"/>
    </xf>
    <xf numFmtId="177" fontId="84" fillId="29" borderId="3" xfId="0" applyNumberFormat="1" applyFont="1" applyFill="1" applyBorder="1" applyAlignment="1">
      <alignment horizontal="center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177" fontId="5" fillId="29" borderId="3" xfId="0" applyNumberFormat="1" applyFont="1" applyFill="1" applyBorder="1" applyAlignment="1">
      <alignment horizontal="center" vertical="center" wrapText="1"/>
    </xf>
    <xf numFmtId="177" fontId="78" fillId="29" borderId="19" xfId="0" applyNumberFormat="1" applyFont="1" applyFill="1" applyBorder="1" applyAlignment="1">
      <alignment horizontal="center" vertical="center" wrapText="1"/>
    </xf>
    <xf numFmtId="177" fontId="84" fillId="29" borderId="19" xfId="0" applyNumberFormat="1" applyFont="1" applyFill="1" applyBorder="1" applyAlignment="1">
      <alignment horizontal="center" vertical="center" wrapText="1"/>
    </xf>
    <xf numFmtId="177" fontId="83" fillId="29" borderId="19" xfId="0" applyNumberFormat="1" applyFont="1" applyFill="1" applyBorder="1" applyAlignment="1">
      <alignment horizontal="center" vertical="center" wrapText="1"/>
    </xf>
    <xf numFmtId="177" fontId="83" fillId="29" borderId="38" xfId="0" applyNumberFormat="1" applyFont="1" applyFill="1" applyBorder="1" applyAlignment="1">
      <alignment horizontal="center" vertical="center" wrapText="1"/>
    </xf>
    <xf numFmtId="177" fontId="73" fillId="29" borderId="38" xfId="0" applyNumberFormat="1" applyFont="1" applyFill="1" applyBorder="1" applyAlignment="1">
      <alignment horizontal="center" vertical="center" wrapText="1"/>
    </xf>
    <xf numFmtId="177" fontId="73" fillId="29" borderId="19" xfId="0" applyNumberFormat="1" applyFont="1" applyFill="1" applyBorder="1" applyAlignment="1">
      <alignment horizontal="center" vertical="center" wrapText="1"/>
    </xf>
    <xf numFmtId="3" fontId="5" fillId="29" borderId="3" xfId="0" applyNumberFormat="1" applyFont="1" applyFill="1" applyBorder="1" applyAlignment="1">
      <alignment horizontal="center" vertical="center" wrapText="1"/>
    </xf>
    <xf numFmtId="3" fontId="81" fillId="29" borderId="3" xfId="0" applyNumberFormat="1" applyFont="1" applyFill="1" applyBorder="1" applyAlignment="1">
      <alignment horizontal="center" vertical="center" wrapText="1"/>
    </xf>
    <xf numFmtId="3" fontId="4" fillId="29" borderId="3" xfId="0" applyNumberFormat="1" applyFont="1" applyFill="1" applyBorder="1" applyAlignment="1">
      <alignment horizontal="center" vertical="center" wrapText="1"/>
    </xf>
    <xf numFmtId="3" fontId="90" fillId="29" borderId="3" xfId="0" applyNumberFormat="1" applyFont="1" applyFill="1" applyBorder="1" applyAlignment="1">
      <alignment horizontal="center" vertical="center" wrapText="1"/>
    </xf>
    <xf numFmtId="3" fontId="72" fillId="29" borderId="3" xfId="0" applyNumberFormat="1" applyFont="1" applyFill="1" applyBorder="1" applyAlignment="1">
      <alignment horizontal="center" vertical="center" wrapText="1"/>
    </xf>
    <xf numFmtId="0" fontId="95" fillId="29" borderId="0" xfId="0" applyFont="1" applyFill="1" applyAlignment="1">
      <alignment horizontal="right" vertical="center"/>
    </xf>
    <xf numFmtId="0" fontId="98" fillId="29" borderId="3" xfId="0" applyFont="1" applyFill="1" applyBorder="1" applyAlignment="1">
      <alignment vertical="center" wrapText="1"/>
    </xf>
    <xf numFmtId="0" fontId="99" fillId="29" borderId="3" xfId="0" applyFont="1" applyFill="1" applyBorder="1" applyAlignment="1">
      <alignment horizontal="left" vertical="center" wrapText="1"/>
    </xf>
    <xf numFmtId="0" fontId="9" fillId="29" borderId="3" xfId="0" applyFont="1" applyFill="1" applyBorder="1" applyAlignment="1">
      <alignment vertical="center" wrapText="1"/>
    </xf>
    <xf numFmtId="0" fontId="100" fillId="29" borderId="3" xfId="0" applyFont="1" applyFill="1" applyBorder="1" applyAlignment="1">
      <alignment vertical="center" wrapText="1"/>
    </xf>
    <xf numFmtId="49" fontId="9" fillId="29" borderId="3" xfId="0" applyNumberFormat="1" applyFont="1" applyFill="1" applyBorder="1" applyAlignment="1">
      <alignment horizontal="left" vertical="center" wrapText="1"/>
    </xf>
    <xf numFmtId="49" fontId="9" fillId="29" borderId="3" xfId="0" applyNumberFormat="1" applyFont="1" applyFill="1" applyBorder="1" applyAlignment="1">
      <alignment horizontal="left" vertical="center" wrapText="1" shrinkToFit="1"/>
    </xf>
    <xf numFmtId="0" fontId="9" fillId="29" borderId="3" xfId="354" applyFont="1" applyFill="1" applyBorder="1" applyAlignment="1">
      <alignment horizontal="left" vertical="center" wrapText="1"/>
    </xf>
    <xf numFmtId="0" fontId="9" fillId="29" borderId="3" xfId="354" applyFont="1" applyFill="1" applyBorder="1" applyAlignment="1">
      <alignment horizontal="justify" vertical="center" wrapText="1"/>
    </xf>
    <xf numFmtId="49" fontId="100" fillId="29" borderId="3" xfId="0" applyNumberFormat="1" applyFont="1" applyFill="1" applyBorder="1" applyAlignment="1">
      <alignment horizontal="left" vertical="center" wrapText="1" shrinkToFit="1"/>
    </xf>
    <xf numFmtId="0" fontId="101" fillId="29" borderId="0" xfId="0" applyFont="1" applyFill="1" applyAlignment="1">
      <alignment horizontal="right" vertical="center"/>
    </xf>
    <xf numFmtId="0" fontId="98" fillId="29" borderId="3" xfId="0" applyFont="1" applyFill="1" applyBorder="1" applyAlignment="1">
      <alignment horizontal="left" vertical="center" wrapText="1"/>
    </xf>
    <xf numFmtId="0" fontId="9" fillId="29" borderId="3" xfId="182" applyFont="1" applyFill="1" applyBorder="1" applyAlignment="1">
      <alignment horizontal="left" vertical="center" wrapText="1"/>
      <protection locked="0"/>
    </xf>
    <xf numFmtId="49" fontId="9" fillId="29" borderId="0" xfId="0" applyNumberFormat="1" applyFont="1" applyFill="1" applyAlignment="1">
      <alignment horizontal="justify" vertical="center" wrapText="1"/>
    </xf>
    <xf numFmtId="49" fontId="9" fillId="29" borderId="3" xfId="0" applyNumberFormat="1" applyFont="1" applyFill="1" applyBorder="1" applyAlignment="1">
      <alignment horizontal="justify" vertical="center" wrapText="1"/>
    </xf>
    <xf numFmtId="49" fontId="5" fillId="29" borderId="0" xfId="0" applyNumberFormat="1" applyFont="1" applyFill="1" applyAlignment="1">
      <alignment horizontal="left" vertical="center" wrapText="1"/>
    </xf>
    <xf numFmtId="49" fontId="5" fillId="29" borderId="3" xfId="0" applyNumberFormat="1" applyFont="1" applyFill="1" applyBorder="1" applyAlignment="1">
      <alignment vertical="center" wrapText="1" shrinkToFit="1"/>
    </xf>
    <xf numFmtId="170" fontId="90" fillId="29" borderId="3" xfId="0" applyNumberFormat="1" applyFont="1" applyFill="1" applyBorder="1" applyAlignment="1">
      <alignment horizontal="center" vertical="center" wrapText="1"/>
    </xf>
    <xf numFmtId="170" fontId="72" fillId="29" borderId="3" xfId="0" applyNumberFormat="1" applyFont="1" applyFill="1" applyBorder="1" applyAlignment="1">
      <alignment horizontal="center" vertical="center" wrapText="1"/>
    </xf>
    <xf numFmtId="0" fontId="9" fillId="29" borderId="0" xfId="0" applyFont="1" applyFill="1" applyAlignment="1">
      <alignment horizontal="center" wrapText="1"/>
    </xf>
    <xf numFmtId="170" fontId="5" fillId="29" borderId="0" xfId="0" applyNumberFormat="1" applyFont="1" applyFill="1" applyAlignment="1">
      <alignment horizontal="right" vertical="center" wrapText="1"/>
    </xf>
    <xf numFmtId="0" fontId="89" fillId="29" borderId="0" xfId="0" applyFont="1" applyFill="1" applyAlignment="1">
      <alignment vertical="top"/>
    </xf>
    <xf numFmtId="3" fontId="5" fillId="29" borderId="3" xfId="0" applyNumberFormat="1" applyFont="1" applyFill="1" applyBorder="1" applyAlignment="1" applyProtection="1">
      <alignment horizontal="center" vertical="center" wrapText="1" shrinkToFit="1"/>
      <protection locked="0"/>
    </xf>
    <xf numFmtId="3" fontId="9" fillId="29" borderId="3" xfId="0" applyNumberFormat="1" applyFont="1" applyFill="1" applyBorder="1" applyAlignment="1" applyProtection="1">
      <alignment horizontal="center" vertical="center" wrapText="1"/>
      <protection locked="0"/>
    </xf>
    <xf numFmtId="3" fontId="9" fillId="29" borderId="3" xfId="0" applyNumberFormat="1" applyFont="1" applyFill="1" applyBorder="1" applyAlignment="1" applyProtection="1">
      <alignment horizontal="center" vertical="center" wrapText="1" shrinkToFit="1"/>
      <protection locked="0"/>
    </xf>
    <xf numFmtId="3" fontId="6" fillId="29" borderId="3" xfId="0" applyNumberFormat="1" applyFont="1" applyFill="1" applyBorder="1" applyAlignment="1">
      <alignment horizontal="center" vertical="center" wrapText="1"/>
    </xf>
    <xf numFmtId="3" fontId="4" fillId="29" borderId="3" xfId="0" applyNumberFormat="1" applyFont="1" applyFill="1" applyBorder="1" applyAlignment="1" applyProtection="1">
      <alignment horizontal="center" vertical="center"/>
      <protection locked="0"/>
    </xf>
    <xf numFmtId="177" fontId="73" fillId="29" borderId="3" xfId="0" applyNumberFormat="1" applyFont="1" applyFill="1" applyBorder="1" applyAlignment="1">
      <alignment horizontal="right" vertical="center" wrapText="1"/>
    </xf>
    <xf numFmtId="177" fontId="84" fillId="29" borderId="42" xfId="0" applyNumberFormat="1" applyFont="1" applyFill="1" applyBorder="1" applyAlignment="1">
      <alignment horizontal="center" vertical="center" wrapText="1"/>
    </xf>
    <xf numFmtId="178" fontId="84" fillId="29" borderId="42" xfId="0" applyNumberFormat="1" applyFont="1" applyFill="1" applyBorder="1" applyAlignment="1">
      <alignment horizontal="center" vertical="center" wrapText="1"/>
    </xf>
    <xf numFmtId="0" fontId="105" fillId="29" borderId="51" xfId="0" applyFont="1" applyFill="1" applyBorder="1" applyAlignment="1">
      <alignment horizontal="center" vertical="center" wrapText="1"/>
    </xf>
    <xf numFmtId="0" fontId="105" fillId="29" borderId="52" xfId="0" applyFont="1" applyFill="1" applyBorder="1" applyAlignment="1">
      <alignment horizontal="center" vertical="center" wrapText="1"/>
    </xf>
    <xf numFmtId="170" fontId="5" fillId="29" borderId="0" xfId="0" applyNumberFormat="1" applyFont="1" applyFill="1" applyAlignment="1">
      <alignment horizontal="center" vertical="center"/>
    </xf>
    <xf numFmtId="169" fontId="72" fillId="29" borderId="0" xfId="0" applyNumberFormat="1" applyFont="1" applyFill="1" applyAlignment="1">
      <alignment horizontal="center" vertical="center" wrapText="1"/>
    </xf>
    <xf numFmtId="169" fontId="72" fillId="29" borderId="0" xfId="0" applyNumberFormat="1" applyFont="1" applyFill="1" applyAlignment="1">
      <alignment horizontal="center" vertical="center"/>
    </xf>
    <xf numFmtId="169" fontId="5" fillId="29" borderId="0" xfId="0" applyNumberFormat="1" applyFont="1" applyFill="1" applyAlignment="1">
      <alignment horizontal="center" vertical="center"/>
    </xf>
    <xf numFmtId="178" fontId="78" fillId="29" borderId="3" xfId="0" applyNumberFormat="1" applyFont="1" applyFill="1" applyBorder="1" applyAlignment="1">
      <alignment horizontal="right" vertical="center" wrapText="1"/>
    </xf>
    <xf numFmtId="169" fontId="5" fillId="29" borderId="0" xfId="0" applyNumberFormat="1" applyFont="1" applyFill="1" applyAlignment="1">
      <alignment horizontal="center" vertical="center" wrapText="1"/>
    </xf>
    <xf numFmtId="170" fontId="72" fillId="29" borderId="0" xfId="0" applyNumberFormat="1" applyFont="1" applyFill="1" applyAlignment="1">
      <alignment horizontal="center" vertical="center"/>
    </xf>
    <xf numFmtId="4" fontId="5" fillId="29" borderId="0" xfId="0" applyNumberFormat="1" applyFont="1" applyFill="1" applyAlignment="1">
      <alignment vertical="center"/>
    </xf>
    <xf numFmtId="4" fontId="4" fillId="29" borderId="0" xfId="0" applyNumberFormat="1" applyFont="1" applyFill="1" applyAlignment="1">
      <alignment horizontal="left" vertical="center"/>
    </xf>
    <xf numFmtId="4" fontId="14" fillId="29" borderId="0" xfId="0" applyNumberFormat="1" applyFont="1" applyFill="1" applyAlignment="1">
      <alignment vertical="center"/>
    </xf>
    <xf numFmtId="4" fontId="14" fillId="29" borderId="0" xfId="0" applyNumberFormat="1" applyFont="1" applyFill="1"/>
    <xf numFmtId="4" fontId="14" fillId="29" borderId="0" xfId="0" applyNumberFormat="1" applyFont="1" applyFill="1" applyAlignment="1">
      <alignment horizontal="center" vertical="center"/>
    </xf>
    <xf numFmtId="4" fontId="5" fillId="29" borderId="0" xfId="0" applyNumberFormat="1" applyFont="1" applyFill="1" applyAlignment="1">
      <alignment horizontal="center" vertical="top"/>
    </xf>
    <xf numFmtId="4" fontId="5" fillId="29" borderId="0" xfId="0" applyNumberFormat="1" applyFont="1" applyFill="1" applyAlignment="1">
      <alignment horizontal="center" vertical="center"/>
    </xf>
    <xf numFmtId="4" fontId="78" fillId="29" borderId="0" xfId="0" applyNumberFormat="1" applyFont="1" applyFill="1" applyAlignment="1">
      <alignment vertical="center"/>
    </xf>
    <xf numFmtId="4" fontId="84" fillId="29" borderId="0" xfId="0" applyNumberFormat="1" applyFont="1" applyFill="1" applyAlignment="1">
      <alignment horizontal="center" vertical="center"/>
    </xf>
    <xf numFmtId="1" fontId="5" fillId="29" borderId="3" xfId="0" applyNumberFormat="1" applyFont="1" applyFill="1" applyBorder="1" applyAlignment="1">
      <alignment horizontal="center" vertical="center" wrapText="1"/>
    </xf>
    <xf numFmtId="3" fontId="5" fillId="29" borderId="3" xfId="0" applyNumberFormat="1" applyFont="1" applyFill="1" applyBorder="1" applyAlignment="1" applyProtection="1">
      <alignment horizontal="center" vertical="center" wrapText="1"/>
      <protection locked="0"/>
    </xf>
    <xf numFmtId="177" fontId="78" fillId="29" borderId="3" xfId="0" applyNumberFormat="1" applyFont="1" applyFill="1" applyBorder="1" applyAlignment="1">
      <alignment horizontal="right" vertical="center" wrapText="1"/>
    </xf>
    <xf numFmtId="177" fontId="78" fillId="29" borderId="3" xfId="0" applyNumberFormat="1" applyFont="1" applyFill="1" applyBorder="1" applyAlignment="1">
      <alignment horizontal="center" vertical="center"/>
    </xf>
    <xf numFmtId="177" fontId="84" fillId="29" borderId="3" xfId="0" applyNumberFormat="1" applyFont="1" applyFill="1" applyBorder="1" applyAlignment="1">
      <alignment horizontal="center" vertical="center"/>
    </xf>
    <xf numFmtId="0" fontId="107" fillId="29" borderId="0" xfId="0" applyFont="1" applyFill="1" applyAlignment="1">
      <alignment horizontal="right"/>
    </xf>
    <xf numFmtId="169" fontId="107" fillId="29" borderId="0" xfId="0" applyNumberFormat="1" applyFont="1" applyFill="1" applyAlignment="1">
      <alignment horizontal="right"/>
    </xf>
    <xf numFmtId="0" fontId="108" fillId="29" borderId="0" xfId="0" applyFont="1" applyFill="1"/>
    <xf numFmtId="4" fontId="108" fillId="29" borderId="0" xfId="0" applyNumberFormat="1" applyFont="1" applyFill="1"/>
    <xf numFmtId="0" fontId="73" fillId="29" borderId="3" xfId="0" applyFont="1" applyFill="1" applyBorder="1" applyAlignment="1">
      <alignment horizontal="center" vertical="center" wrapText="1"/>
    </xf>
    <xf numFmtId="4" fontId="78" fillId="29" borderId="3" xfId="0" applyNumberFormat="1" applyFont="1" applyFill="1" applyBorder="1" applyAlignment="1">
      <alignment vertical="center"/>
    </xf>
    <xf numFmtId="0" fontId="5" fillId="29" borderId="3" xfId="0" applyFont="1" applyFill="1" applyBorder="1" applyAlignment="1">
      <alignment vertical="center" wrapText="1"/>
    </xf>
    <xf numFmtId="0" fontId="5" fillId="29" borderId="3" xfId="0" applyFont="1" applyFill="1" applyBorder="1" applyAlignment="1">
      <alignment vertical="center"/>
    </xf>
    <xf numFmtId="0" fontId="90" fillId="29" borderId="3" xfId="0" applyFont="1" applyFill="1" applyBorder="1" applyAlignment="1">
      <alignment vertical="center"/>
    </xf>
    <xf numFmtId="177" fontId="5" fillId="29" borderId="0" xfId="0" applyNumberFormat="1" applyFont="1" applyFill="1" applyAlignment="1">
      <alignment vertical="center"/>
    </xf>
    <xf numFmtId="177" fontId="4" fillId="29" borderId="0" xfId="0" applyNumberFormat="1" applyFont="1" applyFill="1" applyAlignment="1">
      <alignment vertical="center"/>
    </xf>
    <xf numFmtId="49" fontId="92" fillId="29" borderId="19" xfId="0" applyNumberFormat="1" applyFont="1" applyFill="1" applyBorder="1" applyAlignment="1">
      <alignment vertical="center" wrapText="1"/>
    </xf>
    <xf numFmtId="3" fontId="73" fillId="29" borderId="3" xfId="0" applyNumberFormat="1" applyFont="1" applyFill="1" applyBorder="1" applyAlignment="1">
      <alignment horizontal="center" vertical="center" wrapText="1" shrinkToFit="1"/>
    </xf>
    <xf numFmtId="179" fontId="73" fillId="29" borderId="3" xfId="0" applyNumberFormat="1" applyFont="1" applyFill="1" applyBorder="1" applyAlignment="1">
      <alignment horizontal="center" vertical="center" wrapText="1"/>
    </xf>
    <xf numFmtId="179" fontId="73" fillId="29" borderId="3" xfId="0" applyNumberFormat="1" applyFont="1" applyFill="1" applyBorder="1" applyAlignment="1">
      <alignment horizontal="right" vertical="center" wrapText="1"/>
    </xf>
    <xf numFmtId="4" fontId="73" fillId="29" borderId="3" xfId="0" applyNumberFormat="1" applyFont="1" applyFill="1" applyBorder="1" applyAlignment="1">
      <alignment vertical="center"/>
    </xf>
    <xf numFmtId="178" fontId="73" fillId="29" borderId="3" xfId="0" applyNumberFormat="1" applyFont="1" applyFill="1" applyBorder="1" applyAlignment="1">
      <alignment horizontal="right" vertical="center" wrapText="1"/>
    </xf>
    <xf numFmtId="3" fontId="5" fillId="29" borderId="3" xfId="0" applyNumberFormat="1" applyFont="1" applyFill="1" applyBorder="1" applyAlignment="1" applyProtection="1">
      <alignment horizontal="center" vertical="center"/>
      <protection locked="0"/>
    </xf>
    <xf numFmtId="49" fontId="5" fillId="29" borderId="19" xfId="0" applyNumberFormat="1" applyFont="1" applyFill="1" applyBorder="1" applyAlignment="1">
      <alignment vertical="center" wrapText="1"/>
    </xf>
    <xf numFmtId="3" fontId="78" fillId="29" borderId="3" xfId="0" applyNumberFormat="1" applyFont="1" applyFill="1" applyBorder="1" applyAlignment="1">
      <alignment horizontal="right" vertical="center" wrapText="1"/>
    </xf>
    <xf numFmtId="0" fontId="102" fillId="29" borderId="0" xfId="0" applyFont="1" applyFill="1" applyAlignment="1">
      <alignment horizontal="center" vertical="center"/>
    </xf>
    <xf numFmtId="0" fontId="5" fillId="29" borderId="0" xfId="0" applyFont="1" applyFill="1" applyAlignment="1">
      <alignment horizontal="center" vertical="top"/>
    </xf>
    <xf numFmtId="0" fontId="78" fillId="29" borderId="0" xfId="0" applyFont="1" applyFill="1" applyAlignment="1">
      <alignment horizontal="center" vertical="center" wrapText="1"/>
    </xf>
    <xf numFmtId="0" fontId="78" fillId="29" borderId="3" xfId="0" applyFont="1" applyFill="1" applyBorder="1" applyAlignment="1">
      <alignment horizontal="center" vertical="center"/>
    </xf>
    <xf numFmtId="0" fontId="78" fillId="29" borderId="3" xfId="0" applyFont="1" applyFill="1" applyBorder="1" applyAlignment="1">
      <alignment horizontal="center" vertical="center" wrapText="1"/>
    </xf>
    <xf numFmtId="0" fontId="73" fillId="29" borderId="3" xfId="0" applyFont="1" applyFill="1" applyBorder="1" applyAlignment="1">
      <alignment horizontal="left" vertical="center" wrapText="1"/>
    </xf>
    <xf numFmtId="0" fontId="4" fillId="29" borderId="0" xfId="0" applyFont="1" applyFill="1" applyAlignment="1">
      <alignment horizontal="center" vertical="center" wrapText="1"/>
    </xf>
    <xf numFmtId="0" fontId="4" fillId="29" borderId="3" xfId="0" applyFont="1" applyFill="1" applyBorder="1" applyAlignment="1">
      <alignment horizontal="center" vertical="center"/>
    </xf>
    <xf numFmtId="0" fontId="5" fillId="29" borderId="3" xfId="0" applyFont="1" applyFill="1" applyBorder="1" applyAlignment="1">
      <alignment horizontal="center" vertical="center"/>
    </xf>
    <xf numFmtId="0" fontId="9" fillId="29" borderId="0" xfId="0" applyFont="1" applyFill="1" applyAlignment="1">
      <alignment horizontal="center" vertical="top"/>
    </xf>
    <xf numFmtId="0" fontId="5" fillId="29" borderId="3" xfId="246" applyFont="1" applyFill="1" applyBorder="1" applyAlignment="1">
      <alignment horizontal="center" vertical="center"/>
    </xf>
    <xf numFmtId="0" fontId="5" fillId="29" borderId="3" xfId="246" applyFont="1" applyFill="1" applyBorder="1" applyAlignment="1">
      <alignment horizontal="center" vertical="center" wrapText="1"/>
    </xf>
    <xf numFmtId="0" fontId="78" fillId="29" borderId="3" xfId="0" applyFont="1" applyFill="1" applyBorder="1" applyAlignment="1">
      <alignment horizontal="center" vertical="center" wrapText="1" shrinkToFit="1"/>
    </xf>
    <xf numFmtId="0" fontId="4" fillId="29" borderId="3" xfId="0" applyFont="1" applyFill="1" applyBorder="1" applyAlignment="1">
      <alignment horizontal="left" vertical="center" wrapText="1"/>
    </xf>
    <xf numFmtId="0" fontId="6" fillId="29" borderId="3" xfId="0" applyFont="1" applyFill="1" applyBorder="1" applyAlignment="1">
      <alignment horizontal="center" vertical="center" wrapText="1"/>
    </xf>
    <xf numFmtId="0" fontId="4" fillId="29" borderId="3" xfId="0" applyFont="1" applyFill="1" applyBorder="1" applyAlignment="1">
      <alignment horizontal="center" vertical="center" wrapText="1"/>
    </xf>
    <xf numFmtId="170" fontId="72" fillId="29" borderId="0" xfId="0" applyNumberFormat="1" applyFont="1" applyFill="1" applyAlignment="1">
      <alignment horizontal="center" vertical="center" wrapText="1"/>
    </xf>
    <xf numFmtId="49" fontId="4" fillId="29" borderId="3" xfId="0" applyNumberFormat="1" applyFont="1" applyFill="1" applyBorder="1" applyAlignment="1">
      <alignment horizontal="left" vertical="center" wrapText="1"/>
    </xf>
    <xf numFmtId="49" fontId="4" fillId="29" borderId="3" xfId="0" applyNumberFormat="1" applyFont="1" applyFill="1" applyBorder="1" applyAlignment="1">
      <alignment horizontal="center" vertical="center" wrapText="1"/>
    </xf>
    <xf numFmtId="0" fontId="78" fillId="29" borderId="0" xfId="0" applyFont="1" applyFill="1" applyAlignment="1">
      <alignment horizontal="center" vertical="center"/>
    </xf>
    <xf numFmtId="0" fontId="78" fillId="29" borderId="3" xfId="0" applyFont="1" applyFill="1" applyBorder="1" applyAlignment="1">
      <alignment horizontal="left" vertical="center" wrapText="1"/>
    </xf>
    <xf numFmtId="177" fontId="78" fillId="29" borderId="3" xfId="0" applyNumberFormat="1" applyFont="1" applyFill="1" applyBorder="1" applyAlignment="1">
      <alignment horizontal="center" vertical="center" wrapText="1"/>
    </xf>
    <xf numFmtId="177" fontId="73" fillId="29" borderId="3" xfId="0" applyNumberFormat="1" applyFont="1" applyFill="1" applyBorder="1" applyAlignment="1">
      <alignment horizontal="center" vertical="center" wrapText="1"/>
    </xf>
    <xf numFmtId="0" fontId="5" fillId="29" borderId="3" xfId="0" applyFont="1" applyFill="1" applyBorder="1" applyAlignment="1">
      <alignment horizontal="left" vertical="center" wrapText="1"/>
    </xf>
    <xf numFmtId="0" fontId="5" fillId="29" borderId="3" xfId="0" applyFont="1" applyFill="1" applyBorder="1" applyAlignment="1">
      <alignment horizontal="center" vertical="center" wrapText="1"/>
    </xf>
    <xf numFmtId="0" fontId="5" fillId="29" borderId="0" xfId="0" applyFont="1" applyFill="1" applyAlignment="1">
      <alignment vertical="center"/>
    </xf>
    <xf numFmtId="0" fontId="5" fillId="29" borderId="0" xfId="0" applyFont="1" applyFill="1" applyAlignment="1">
      <alignment horizontal="center" vertical="center"/>
    </xf>
    <xf numFmtId="3" fontId="78" fillId="29" borderId="3" xfId="0" applyNumberFormat="1" applyFont="1" applyFill="1" applyBorder="1" applyAlignment="1">
      <alignment horizontal="center" vertical="center" wrapText="1"/>
    </xf>
    <xf numFmtId="3" fontId="73" fillId="29" borderId="3" xfId="0" applyNumberFormat="1" applyFont="1" applyFill="1" applyBorder="1" applyAlignment="1">
      <alignment horizontal="center" vertical="center" wrapText="1"/>
    </xf>
    <xf numFmtId="0" fontId="78" fillId="29" borderId="0" xfId="0" applyFont="1" applyFill="1" applyAlignment="1">
      <alignment horizontal="right" vertical="center"/>
    </xf>
    <xf numFmtId="0" fontId="78" fillId="29" borderId="14" xfId="0" applyFont="1" applyFill="1" applyBorder="1" applyAlignment="1">
      <alignment horizontal="center" vertical="center" wrapText="1" shrinkToFit="1"/>
    </xf>
    <xf numFmtId="0" fontId="78" fillId="29" borderId="13" xfId="0" applyFont="1" applyFill="1" applyBorder="1" applyAlignment="1">
      <alignment horizontal="center" vertical="center"/>
    </xf>
    <xf numFmtId="3" fontId="78" fillId="29" borderId="3" xfId="0" applyNumberFormat="1" applyFont="1" applyFill="1" applyBorder="1" applyAlignment="1">
      <alignment horizontal="center" vertical="center" wrapText="1" shrinkToFit="1"/>
    </xf>
    <xf numFmtId="0" fontId="73" fillId="29" borderId="0" xfId="0" applyFont="1" applyFill="1" applyAlignment="1">
      <alignment horizontal="right" vertical="center"/>
    </xf>
    <xf numFmtId="0" fontId="5" fillId="29" borderId="14" xfId="0" applyFont="1" applyFill="1" applyBorder="1" applyAlignment="1">
      <alignment horizontal="center" vertical="center"/>
    </xf>
    <xf numFmtId="3" fontId="98" fillId="29" borderId="3" xfId="0" applyNumberFormat="1" applyFont="1" applyFill="1" applyBorder="1" applyAlignment="1">
      <alignment horizontal="center" vertical="center" wrapText="1"/>
    </xf>
    <xf numFmtId="170" fontId="98" fillId="29" borderId="3" xfId="0" applyNumberFormat="1" applyFont="1" applyFill="1" applyBorder="1" applyAlignment="1">
      <alignment horizontal="center" vertical="center" wrapText="1"/>
    </xf>
    <xf numFmtId="3" fontId="97" fillId="29" borderId="3" xfId="0" applyNumberFormat="1" applyFont="1" applyFill="1" applyBorder="1" applyAlignment="1">
      <alignment horizontal="center" vertical="center" wrapText="1"/>
    </xf>
    <xf numFmtId="170" fontId="97" fillId="29" borderId="3" xfId="0" applyNumberFormat="1" applyFont="1" applyFill="1" applyBorder="1" applyAlignment="1">
      <alignment horizontal="center" vertical="center" wrapText="1"/>
    </xf>
    <xf numFmtId="3" fontId="97" fillId="29" borderId="3" xfId="0" applyNumberFormat="1" applyFont="1" applyFill="1" applyBorder="1" applyAlignment="1">
      <alignment horizontal="center" vertical="center"/>
    </xf>
    <xf numFmtId="3" fontId="9" fillId="29" borderId="3" xfId="0" applyNumberFormat="1" applyFont="1" applyFill="1" applyBorder="1" applyAlignment="1">
      <alignment horizontal="center"/>
    </xf>
    <xf numFmtId="0" fontId="97" fillId="29" borderId="3" xfId="0" applyFont="1" applyFill="1" applyBorder="1" applyAlignment="1">
      <alignment vertical="center" wrapText="1"/>
    </xf>
    <xf numFmtId="0" fontId="104" fillId="29" borderId="3" xfId="0" applyFont="1" applyFill="1" applyBorder="1" applyAlignment="1">
      <alignment vertical="center" wrapText="1"/>
    </xf>
    <xf numFmtId="3" fontId="104" fillId="29" borderId="3" xfId="0" applyNumberFormat="1" applyFont="1" applyFill="1" applyBorder="1" applyAlignment="1">
      <alignment horizontal="center" vertical="center" wrapText="1"/>
    </xf>
    <xf numFmtId="178" fontId="83" fillId="29" borderId="3" xfId="0" applyNumberFormat="1" applyFont="1" applyFill="1" applyBorder="1" applyAlignment="1">
      <alignment horizontal="center" vertical="center" wrapText="1"/>
    </xf>
    <xf numFmtId="177" fontId="84" fillId="29" borderId="19" xfId="0" applyNumberFormat="1" applyFont="1" applyFill="1" applyBorder="1" applyAlignment="1">
      <alignment horizontal="right" vertical="center" wrapText="1"/>
    </xf>
    <xf numFmtId="177" fontId="73" fillId="29" borderId="3" xfId="0" applyNumberFormat="1" applyFont="1" applyFill="1" applyBorder="1" applyAlignment="1">
      <alignment vertical="center" wrapText="1"/>
    </xf>
    <xf numFmtId="177" fontId="83" fillId="29" borderId="3" xfId="0" applyNumberFormat="1" applyFont="1" applyFill="1" applyBorder="1" applyAlignment="1">
      <alignment vertical="center" wrapText="1"/>
    </xf>
    <xf numFmtId="169" fontId="5" fillId="29" borderId="3" xfId="0" applyNumberFormat="1" applyFont="1" applyFill="1" applyBorder="1" applyAlignment="1">
      <alignment horizontal="center" vertical="center" wrapText="1"/>
    </xf>
    <xf numFmtId="3" fontId="5" fillId="29" borderId="3" xfId="0" applyNumberFormat="1" applyFont="1" applyFill="1" applyBorder="1" applyAlignment="1">
      <alignment horizontal="center" vertical="center"/>
    </xf>
    <xf numFmtId="3" fontId="4" fillId="29" borderId="3" xfId="0" applyNumberFormat="1" applyFont="1" applyFill="1" applyBorder="1" applyAlignment="1">
      <alignment horizontal="center" vertical="center"/>
    </xf>
    <xf numFmtId="3" fontId="4" fillId="29" borderId="3" xfId="0" applyNumberFormat="1" applyFont="1" applyFill="1" applyBorder="1" applyAlignment="1" applyProtection="1">
      <alignment horizontal="center" vertical="center" wrapText="1"/>
      <protection locked="0"/>
    </xf>
    <xf numFmtId="3" fontId="5" fillId="29" borderId="3" xfId="0" applyNumberFormat="1" applyFont="1" applyFill="1" applyBorder="1" applyAlignment="1">
      <alignment horizontal="right" vertical="center" wrapText="1"/>
    </xf>
    <xf numFmtId="3" fontId="109" fillId="29" borderId="3" xfId="0" applyNumberFormat="1" applyFont="1" applyFill="1" applyBorder="1" applyAlignment="1" applyProtection="1">
      <alignment horizontal="center" vertical="center" wrapText="1"/>
      <protection locked="0"/>
    </xf>
    <xf numFmtId="3" fontId="91" fillId="29" borderId="3" xfId="0" quotePrefix="1" applyNumberFormat="1" applyFont="1" applyFill="1" applyBorder="1" applyAlignment="1">
      <alignment horizontal="center" vertical="center" wrapText="1"/>
    </xf>
    <xf numFmtId="173" fontId="73" fillId="29" borderId="3" xfId="0" applyNumberFormat="1" applyFont="1" applyFill="1" applyBorder="1" applyAlignment="1">
      <alignment horizontal="center" vertical="center" wrapText="1"/>
    </xf>
    <xf numFmtId="173" fontId="78" fillId="29" borderId="3" xfId="0" applyNumberFormat="1" applyFont="1" applyFill="1" applyBorder="1" applyAlignment="1">
      <alignment horizontal="center" vertical="center" wrapText="1"/>
    </xf>
    <xf numFmtId="170" fontId="9" fillId="29" borderId="3" xfId="0" applyNumberFormat="1" applyFont="1" applyFill="1" applyBorder="1" applyAlignment="1">
      <alignment horizontal="center" vertical="center" wrapText="1"/>
    </xf>
    <xf numFmtId="3" fontId="5" fillId="29" borderId="17" xfId="0" applyNumberFormat="1" applyFont="1" applyFill="1" applyBorder="1" applyAlignment="1">
      <alignment horizontal="center" vertical="center" wrapText="1"/>
    </xf>
    <xf numFmtId="170" fontId="5" fillId="29" borderId="14" xfId="0" applyNumberFormat="1" applyFont="1" applyFill="1" applyBorder="1" applyAlignment="1">
      <alignment horizontal="center" vertical="center" wrapText="1"/>
    </xf>
    <xf numFmtId="169" fontId="5" fillId="29" borderId="14" xfId="0" applyNumberFormat="1" applyFont="1" applyFill="1" applyBorder="1" applyAlignment="1">
      <alignment horizontal="center" vertical="center" wrapText="1"/>
    </xf>
    <xf numFmtId="3" fontId="90" fillId="29" borderId="3" xfId="0" quotePrefix="1" applyNumberFormat="1" applyFont="1" applyFill="1" applyBorder="1" applyAlignment="1">
      <alignment horizontal="center" vertical="center"/>
    </xf>
    <xf numFmtId="3" fontId="72" fillId="29" borderId="3" xfId="0" quotePrefix="1" applyNumberFormat="1" applyFont="1" applyFill="1" applyBorder="1" applyAlignment="1">
      <alignment horizontal="center" vertical="center"/>
    </xf>
    <xf numFmtId="3" fontId="72" fillId="29" borderId="3" xfId="0" applyNumberFormat="1" applyFont="1" applyFill="1" applyBorder="1" applyAlignment="1">
      <alignment horizontal="center" vertical="center"/>
    </xf>
    <xf numFmtId="3" fontId="72" fillId="29" borderId="3" xfId="0" applyNumberFormat="1" applyFont="1" applyFill="1" applyBorder="1" applyAlignment="1">
      <alignment vertical="center"/>
    </xf>
    <xf numFmtId="3" fontId="90" fillId="29" borderId="3" xfId="0" applyNumberFormat="1" applyFont="1" applyFill="1" applyBorder="1" applyAlignment="1">
      <alignment horizontal="center" vertical="center"/>
    </xf>
    <xf numFmtId="0" fontId="78" fillId="29" borderId="0" xfId="0" applyFont="1" applyFill="1"/>
    <xf numFmtId="0" fontId="5" fillId="29" borderId="0" xfId="0" applyFont="1" applyFill="1"/>
    <xf numFmtId="0" fontId="69" fillId="29" borderId="0" xfId="0" applyFont="1" applyFill="1"/>
    <xf numFmtId="3" fontId="73" fillId="29" borderId="3" xfId="0" applyNumberFormat="1" applyFont="1" applyFill="1" applyBorder="1" applyAlignment="1">
      <alignment horizontal="right" vertical="center" wrapText="1"/>
    </xf>
    <xf numFmtId="177" fontId="82" fillId="29" borderId="3" xfId="0" applyNumberFormat="1" applyFont="1" applyFill="1" applyBorder="1" applyAlignment="1">
      <alignment horizontal="center" vertical="center" wrapText="1"/>
    </xf>
    <xf numFmtId="177" fontId="90" fillId="29" borderId="3" xfId="0" applyNumberFormat="1" applyFont="1" applyFill="1" applyBorder="1" applyAlignment="1">
      <alignment horizontal="center" vertical="center" wrapText="1"/>
    </xf>
    <xf numFmtId="179" fontId="90" fillId="29" borderId="3" xfId="0" applyNumberFormat="1" applyFont="1" applyFill="1" applyBorder="1" applyAlignment="1">
      <alignment horizontal="center" vertical="center" wrapText="1"/>
    </xf>
    <xf numFmtId="177" fontId="72" fillId="29" borderId="3" xfId="0" applyNumberFormat="1" applyFont="1" applyFill="1" applyBorder="1" applyAlignment="1">
      <alignment horizontal="center" vertical="center" wrapText="1"/>
    </xf>
    <xf numFmtId="179" fontId="72" fillId="29" borderId="3" xfId="0" applyNumberFormat="1" applyFont="1" applyFill="1" applyBorder="1" applyAlignment="1">
      <alignment horizontal="center" vertical="center" wrapText="1"/>
    </xf>
    <xf numFmtId="177" fontId="72" fillId="29" borderId="3" xfId="0" quotePrefix="1" applyNumberFormat="1" applyFont="1" applyFill="1" applyBorder="1" applyAlignment="1">
      <alignment horizontal="center" vertical="center"/>
    </xf>
    <xf numFmtId="177" fontId="72" fillId="29" borderId="3" xfId="0" applyNumberFormat="1" applyFont="1" applyFill="1" applyBorder="1" applyAlignment="1">
      <alignment horizontal="center" vertical="center"/>
    </xf>
    <xf numFmtId="177" fontId="90" fillId="29" borderId="3" xfId="0" applyNumberFormat="1" applyFont="1" applyFill="1" applyBorder="1" applyAlignment="1">
      <alignment horizontal="center" vertical="center"/>
    </xf>
    <xf numFmtId="0" fontId="4" fillId="30" borderId="0" xfId="0" applyFont="1" applyFill="1" applyAlignment="1">
      <alignment horizontal="center" vertical="center" wrapText="1"/>
    </xf>
    <xf numFmtId="0" fontId="5" fillId="30" borderId="3" xfId="0" applyFont="1" applyFill="1" applyBorder="1" applyAlignment="1">
      <alignment horizontal="center" vertical="center" wrapText="1"/>
    </xf>
    <xf numFmtId="177" fontId="90" fillId="30" borderId="3" xfId="0" applyNumberFormat="1" applyFont="1" applyFill="1" applyBorder="1" applyAlignment="1">
      <alignment horizontal="center" vertical="center" wrapText="1"/>
    </xf>
    <xf numFmtId="177" fontId="72" fillId="30" borderId="3" xfId="0" applyNumberFormat="1" applyFont="1" applyFill="1" applyBorder="1" applyAlignment="1">
      <alignment horizontal="center" vertical="center" wrapText="1"/>
    </xf>
    <xf numFmtId="177" fontId="90" fillId="30" borderId="3" xfId="0" applyNumberFormat="1" applyFont="1" applyFill="1" applyBorder="1" applyAlignment="1">
      <alignment horizontal="center" vertical="center"/>
    </xf>
    <xf numFmtId="170" fontId="72" fillId="30" borderId="0" xfId="0" applyNumberFormat="1" applyFont="1" applyFill="1" applyAlignment="1">
      <alignment horizontal="right" vertical="center" wrapText="1"/>
    </xf>
    <xf numFmtId="170" fontId="5" fillId="30" borderId="0" xfId="0" applyNumberFormat="1" applyFont="1" applyFill="1" applyAlignment="1">
      <alignment horizontal="right" vertical="center" wrapText="1"/>
    </xf>
    <xf numFmtId="0" fontId="5" fillId="30" borderId="0" xfId="0" applyFont="1" applyFill="1" applyAlignment="1">
      <alignment horizontal="center" vertical="center"/>
    </xf>
    <xf numFmtId="0" fontId="4" fillId="29" borderId="3" xfId="0" applyFont="1" applyFill="1" applyBorder="1" applyAlignment="1">
      <alignment horizontal="center" vertical="center"/>
    </xf>
    <xf numFmtId="49" fontId="5" fillId="29" borderId="3" xfId="0" applyNumberFormat="1" applyFont="1" applyFill="1" applyBorder="1" applyAlignment="1">
      <alignment horizontal="left" vertical="center"/>
    </xf>
    <xf numFmtId="173" fontId="78" fillId="31" borderId="3" xfId="0" applyNumberFormat="1" applyFont="1" applyFill="1" applyBorder="1" applyAlignment="1">
      <alignment horizontal="center" vertical="center" wrapText="1"/>
    </xf>
    <xf numFmtId="0" fontId="96" fillId="29" borderId="0" xfId="0" applyFont="1" applyFill="1" applyAlignment="1">
      <alignment horizontal="center" vertical="center"/>
    </xf>
    <xf numFmtId="0" fontId="105" fillId="29" borderId="44" xfId="0" applyFont="1" applyFill="1" applyBorder="1" applyAlignment="1">
      <alignment horizontal="center" vertical="center" wrapText="1"/>
    </xf>
    <xf numFmtId="0" fontId="105" fillId="29" borderId="47" xfId="0" applyFont="1" applyFill="1" applyBorder="1" applyAlignment="1">
      <alignment horizontal="center" vertical="center" wrapText="1"/>
    </xf>
    <xf numFmtId="0" fontId="105" fillId="29" borderId="50" xfId="0" applyFont="1" applyFill="1" applyBorder="1" applyAlignment="1">
      <alignment horizontal="center" vertical="center" wrapText="1"/>
    </xf>
    <xf numFmtId="0" fontId="105" fillId="29" borderId="45" xfId="0" applyFont="1" applyFill="1" applyBorder="1" applyAlignment="1">
      <alignment horizontal="center" vertical="center" wrapText="1"/>
    </xf>
    <xf numFmtId="0" fontId="105" fillId="29" borderId="21" xfId="0" applyFont="1" applyFill="1" applyBorder="1" applyAlignment="1">
      <alignment horizontal="center" vertical="center" wrapText="1"/>
    </xf>
    <xf numFmtId="0" fontId="105" fillId="29" borderId="46" xfId="0" applyFont="1" applyFill="1" applyBorder="1" applyAlignment="1">
      <alignment horizontal="center" vertical="center" wrapText="1"/>
    </xf>
    <xf numFmtId="0" fontId="105" fillId="29" borderId="48" xfId="0" applyFont="1" applyFill="1" applyBorder="1" applyAlignment="1">
      <alignment horizontal="center" vertical="center" wrapText="1"/>
    </xf>
    <xf numFmtId="0" fontId="105" fillId="29" borderId="49" xfId="0" applyFont="1" applyFill="1" applyBorder="1" applyAlignment="1">
      <alignment horizontal="center" vertical="center" wrapText="1"/>
    </xf>
    <xf numFmtId="0" fontId="102" fillId="29" borderId="0" xfId="0" applyFont="1" applyFill="1" applyAlignment="1">
      <alignment horizontal="center" vertical="center"/>
    </xf>
    <xf numFmtId="0" fontId="75" fillId="29" borderId="15" xfId="0" applyFont="1" applyFill="1" applyBorder="1" applyAlignment="1">
      <alignment horizontal="left" vertical="center" wrapText="1"/>
    </xf>
    <xf numFmtId="0" fontId="75" fillId="29" borderId="17" xfId="0" applyFont="1" applyFill="1" applyBorder="1" applyAlignment="1">
      <alignment horizontal="left" vertical="center" wrapText="1"/>
    </xf>
    <xf numFmtId="0" fontId="75" fillId="29" borderId="16" xfId="0" applyFont="1" applyFill="1" applyBorder="1" applyAlignment="1">
      <alignment horizontal="left" vertical="center" wrapText="1"/>
    </xf>
    <xf numFmtId="0" fontId="74" fillId="29" borderId="20" xfId="0" applyFont="1" applyFill="1" applyBorder="1" applyAlignment="1">
      <alignment horizontal="center" vertical="center" wrapText="1"/>
    </xf>
    <xf numFmtId="0" fontId="74" fillId="29" borderId="21" xfId="0" applyFont="1" applyFill="1" applyBorder="1" applyAlignment="1">
      <alignment horizontal="center" vertical="center" wrapText="1"/>
    </xf>
    <xf numFmtId="0" fontId="74" fillId="29" borderId="22" xfId="0" applyFont="1" applyFill="1" applyBorder="1" applyAlignment="1">
      <alignment horizontal="center" vertical="center" wrapText="1"/>
    </xf>
    <xf numFmtId="0" fontId="75" fillId="29" borderId="20" xfId="0" applyFont="1" applyFill="1" applyBorder="1" applyAlignment="1">
      <alignment horizontal="center" vertical="center" wrapText="1"/>
    </xf>
    <xf numFmtId="0" fontId="75" fillId="29" borderId="21" xfId="0" applyFont="1" applyFill="1" applyBorder="1" applyAlignment="1">
      <alignment horizontal="center" vertical="center" wrapText="1"/>
    </xf>
    <xf numFmtId="0" fontId="75" fillId="29" borderId="22" xfId="0" applyFont="1" applyFill="1" applyBorder="1" applyAlignment="1">
      <alignment horizontal="center" vertical="center" wrapText="1"/>
    </xf>
    <xf numFmtId="0" fontId="73" fillId="29" borderId="0" xfId="0" applyFont="1" applyFill="1" applyAlignment="1">
      <alignment horizontal="center" vertical="center"/>
    </xf>
    <xf numFmtId="0" fontId="78" fillId="29" borderId="3" xfId="0" applyFont="1" applyFill="1" applyBorder="1" applyAlignment="1">
      <alignment horizontal="center" vertical="center" wrapText="1"/>
    </xf>
    <xf numFmtId="0" fontId="78" fillId="29" borderId="3" xfId="246" applyFont="1" applyFill="1" applyBorder="1" applyAlignment="1">
      <alignment horizontal="center" vertical="center"/>
    </xf>
    <xf numFmtId="0" fontId="78" fillId="29" borderId="3" xfId="0" applyFont="1" applyFill="1" applyBorder="1" applyAlignment="1">
      <alignment horizontal="center" vertical="center"/>
    </xf>
    <xf numFmtId="0" fontId="88" fillId="29" borderId="13" xfId="0" applyFont="1" applyFill="1" applyBorder="1" applyAlignment="1">
      <alignment horizontal="center" vertical="center"/>
    </xf>
    <xf numFmtId="0" fontId="74" fillId="29" borderId="0" xfId="0" applyFont="1" applyFill="1" applyAlignment="1">
      <alignment horizontal="center" vertical="center"/>
    </xf>
    <xf numFmtId="0" fontId="5" fillId="29" borderId="0" xfId="0" applyFont="1" applyFill="1" applyAlignment="1">
      <alignment horizontal="left" vertical="top"/>
    </xf>
    <xf numFmtId="0" fontId="5" fillId="29" borderId="0" xfId="0" applyFont="1" applyFill="1" applyAlignment="1">
      <alignment horizontal="center" vertical="top"/>
    </xf>
    <xf numFmtId="0" fontId="75" fillId="29" borderId="20" xfId="0" applyFont="1" applyFill="1" applyBorder="1" applyAlignment="1" applyProtection="1">
      <alignment horizontal="center" vertical="center" wrapText="1"/>
      <protection locked="0"/>
    </xf>
    <xf numFmtId="0" fontId="75" fillId="29" borderId="21" xfId="0" applyFont="1" applyFill="1" applyBorder="1" applyAlignment="1" applyProtection="1">
      <alignment horizontal="center" vertical="center" wrapText="1"/>
      <protection locked="0"/>
    </xf>
    <xf numFmtId="0" fontId="75" fillId="29" borderId="22" xfId="0" applyFont="1" applyFill="1" applyBorder="1" applyAlignment="1" applyProtection="1">
      <alignment horizontal="center" vertical="center" wrapText="1"/>
      <protection locked="0"/>
    </xf>
    <xf numFmtId="0" fontId="75" fillId="29" borderId="33" xfId="0" applyFont="1" applyFill="1" applyBorder="1" applyAlignment="1">
      <alignment horizontal="center" vertical="center" wrapText="1"/>
    </xf>
    <xf numFmtId="0" fontId="75" fillId="29" borderId="34" xfId="0" applyFont="1" applyFill="1" applyBorder="1" applyAlignment="1">
      <alignment horizontal="center" vertical="center" wrapText="1"/>
    </xf>
    <xf numFmtId="0" fontId="75" fillId="29" borderId="35" xfId="0" applyFont="1" applyFill="1" applyBorder="1" applyAlignment="1">
      <alignment horizontal="center" vertical="center" wrapText="1"/>
    </xf>
    <xf numFmtId="0" fontId="75" fillId="29" borderId="23" xfId="238" applyFont="1" applyFill="1" applyBorder="1" applyAlignment="1">
      <alignment horizontal="center" vertical="center" wrapText="1"/>
    </xf>
    <xf numFmtId="0" fontId="75" fillId="29" borderId="24" xfId="238" applyFont="1" applyFill="1" applyBorder="1" applyAlignment="1">
      <alignment horizontal="center" vertical="center" wrapText="1"/>
    </xf>
    <xf numFmtId="0" fontId="75" fillId="29" borderId="25" xfId="238" applyFont="1" applyFill="1" applyBorder="1" applyAlignment="1">
      <alignment horizontal="center" vertical="center" wrapText="1"/>
    </xf>
    <xf numFmtId="0" fontId="78" fillId="29" borderId="0" xfId="0" applyFont="1" applyFill="1" applyAlignment="1">
      <alignment horizontal="center" vertical="center" wrapText="1"/>
    </xf>
    <xf numFmtId="170" fontId="78" fillId="29" borderId="0" xfId="0" applyNumberFormat="1" applyFont="1" applyFill="1" applyAlignment="1" applyProtection="1">
      <alignment horizontal="center" vertical="center" wrapText="1"/>
      <protection locked="0"/>
    </xf>
    <xf numFmtId="0" fontId="78" fillId="29" borderId="17" xfId="0" applyFont="1" applyFill="1" applyBorder="1" applyAlignment="1">
      <alignment horizontal="left" vertical="center" wrapText="1"/>
    </xf>
    <xf numFmtId="0" fontId="74" fillId="29" borderId="0" xfId="0" applyFont="1" applyFill="1" applyAlignment="1">
      <alignment horizontal="center" vertical="center" wrapText="1"/>
    </xf>
    <xf numFmtId="0" fontId="73" fillId="29" borderId="3" xfId="0" applyFont="1" applyFill="1" applyBorder="1" applyAlignment="1">
      <alignment horizontal="left" vertical="center" wrapText="1"/>
    </xf>
    <xf numFmtId="0" fontId="73" fillId="29" borderId="15" xfId="0" applyFont="1" applyFill="1" applyBorder="1" applyAlignment="1">
      <alignment horizontal="left" vertical="center" wrapText="1"/>
    </xf>
    <xf numFmtId="0" fontId="73" fillId="29" borderId="17" xfId="0" applyFont="1" applyFill="1" applyBorder="1" applyAlignment="1">
      <alignment horizontal="left" vertical="center" wrapText="1"/>
    </xf>
    <xf numFmtId="0" fontId="73" fillId="29" borderId="16" xfId="0" applyFont="1" applyFill="1" applyBorder="1" applyAlignment="1">
      <alignment horizontal="left" vertical="center" wrapText="1"/>
    </xf>
    <xf numFmtId="0" fontId="4" fillId="29" borderId="0" xfId="0" applyFont="1" applyFill="1" applyAlignment="1">
      <alignment horizontal="center" vertical="center" wrapText="1"/>
    </xf>
    <xf numFmtId="0" fontId="4" fillId="29" borderId="3" xfId="0" applyFont="1" applyFill="1" applyBorder="1" applyAlignment="1">
      <alignment horizontal="center" vertical="center"/>
    </xf>
    <xf numFmtId="0" fontId="77" fillId="29" borderId="15" xfId="0" applyFont="1" applyFill="1" applyBorder="1" applyAlignment="1" applyProtection="1">
      <alignment horizontal="center" vertical="center" wrapText="1"/>
      <protection locked="0"/>
    </xf>
    <xf numFmtId="0" fontId="77" fillId="29" borderId="17" xfId="0" applyFont="1" applyFill="1" applyBorder="1" applyAlignment="1" applyProtection="1">
      <alignment horizontal="center" vertical="center" wrapText="1"/>
      <protection locked="0"/>
    </xf>
    <xf numFmtId="0" fontId="77" fillId="29" borderId="16" xfId="0" applyFont="1" applyFill="1" applyBorder="1" applyAlignment="1" applyProtection="1">
      <alignment horizontal="center" vertical="center" wrapText="1"/>
      <protection locked="0"/>
    </xf>
    <xf numFmtId="0" fontId="5" fillId="29" borderId="3" xfId="0" applyFont="1" applyFill="1" applyBorder="1" applyAlignment="1">
      <alignment horizontal="center" vertical="center"/>
    </xf>
    <xf numFmtId="0" fontId="74" fillId="29" borderId="0" xfId="246" applyFont="1" applyFill="1" applyAlignment="1">
      <alignment horizontal="center" vertical="center"/>
    </xf>
    <xf numFmtId="0" fontId="9" fillId="29" borderId="0" xfId="0" applyFont="1" applyFill="1" applyAlignment="1">
      <alignment horizontal="center" vertical="top"/>
    </xf>
    <xf numFmtId="0" fontId="4" fillId="29" borderId="3" xfId="246" applyFont="1" applyFill="1" applyBorder="1" applyAlignment="1">
      <alignment horizontal="center" vertical="center" wrapText="1"/>
    </xf>
    <xf numFmtId="0" fontId="5" fillId="29" borderId="13" xfId="246" applyFont="1" applyFill="1" applyBorder="1" applyAlignment="1">
      <alignment horizontal="right" vertical="center"/>
    </xf>
    <xf numFmtId="0" fontId="5" fillId="29" borderId="3" xfId="246" applyFont="1" applyFill="1" applyBorder="1" applyAlignment="1">
      <alignment horizontal="center" vertical="center"/>
    </xf>
    <xf numFmtId="0" fontId="5" fillId="29" borderId="3" xfId="246" applyFont="1" applyFill="1" applyBorder="1" applyAlignment="1">
      <alignment horizontal="center" vertical="center" wrapText="1"/>
    </xf>
    <xf numFmtId="0" fontId="5" fillId="29" borderId="15" xfId="0" applyFont="1" applyFill="1" applyBorder="1" applyAlignment="1">
      <alignment horizontal="center" vertical="center" wrapText="1"/>
    </xf>
    <xf numFmtId="0" fontId="5" fillId="29" borderId="16" xfId="0" applyFont="1" applyFill="1" applyBorder="1" applyAlignment="1">
      <alignment horizontal="center" vertical="center" wrapText="1"/>
    </xf>
    <xf numFmtId="0" fontId="5" fillId="29" borderId="15" xfId="246" applyFont="1" applyFill="1" applyBorder="1" applyAlignment="1">
      <alignment horizontal="center" vertical="center"/>
    </xf>
    <xf numFmtId="0" fontId="5" fillId="29" borderId="17" xfId="246" applyFont="1" applyFill="1" applyBorder="1" applyAlignment="1">
      <alignment horizontal="center" vertical="center"/>
    </xf>
    <xf numFmtId="0" fontId="5" fillId="29" borderId="16" xfId="246" applyFont="1" applyFill="1" applyBorder="1" applyAlignment="1">
      <alignment horizontal="center" vertical="center"/>
    </xf>
    <xf numFmtId="0" fontId="78" fillId="29" borderId="3" xfId="0" applyFont="1" applyFill="1" applyBorder="1" applyAlignment="1">
      <alignment horizontal="center" vertical="center" wrapText="1" shrinkToFit="1"/>
    </xf>
    <xf numFmtId="170" fontId="72" fillId="29" borderId="0" xfId="0" applyNumberFormat="1" applyFont="1" applyFill="1" applyAlignment="1">
      <alignment horizontal="center" vertical="center" wrapText="1"/>
    </xf>
    <xf numFmtId="0" fontId="90" fillId="29" borderId="0" xfId="0" applyFont="1" applyFill="1" applyBorder="1" applyAlignment="1">
      <alignment horizontal="center" vertical="center"/>
    </xf>
    <xf numFmtId="0" fontId="4" fillId="29" borderId="15" xfId="0" applyFont="1" applyFill="1" applyBorder="1" applyAlignment="1">
      <alignment horizontal="left" vertical="center"/>
    </xf>
    <xf numFmtId="0" fontId="4" fillId="29" borderId="16" xfId="0" applyFont="1" applyFill="1" applyBorder="1" applyAlignment="1">
      <alignment horizontal="left" vertical="center"/>
    </xf>
    <xf numFmtId="49" fontId="6" fillId="29" borderId="3" xfId="0" applyNumberFormat="1" applyFont="1" applyFill="1" applyBorder="1" applyAlignment="1">
      <alignment horizontal="center" vertical="center" wrapText="1"/>
    </xf>
    <xf numFmtId="49" fontId="4" fillId="29" borderId="3" xfId="0" applyNumberFormat="1" applyFont="1" applyFill="1" applyBorder="1" applyAlignment="1">
      <alignment horizontal="left" vertical="center" wrapText="1"/>
    </xf>
    <xf numFmtId="0" fontId="106" fillId="29" borderId="0" xfId="0" applyFont="1" applyFill="1" applyAlignment="1">
      <alignment horizontal="center" vertical="center" wrapText="1"/>
    </xf>
    <xf numFmtId="49" fontId="4" fillId="29" borderId="3" xfId="0" applyNumberFormat="1" applyFont="1" applyFill="1" applyBorder="1" applyAlignment="1">
      <alignment horizontal="center" vertical="center" wrapText="1"/>
    </xf>
    <xf numFmtId="49" fontId="6" fillId="29" borderId="15" xfId="0" applyNumberFormat="1" applyFont="1" applyFill="1" applyBorder="1" applyAlignment="1">
      <alignment horizontal="center" vertical="center" wrapText="1"/>
    </xf>
    <xf numFmtId="49" fontId="6" fillId="29" borderId="16" xfId="0" applyNumberFormat="1" applyFont="1" applyFill="1" applyBorder="1" applyAlignment="1">
      <alignment horizontal="center" vertical="center" wrapText="1"/>
    </xf>
    <xf numFmtId="49" fontId="4" fillId="29" borderId="15" xfId="0" applyNumberFormat="1" applyFont="1" applyFill="1" applyBorder="1" applyAlignment="1">
      <alignment horizontal="left" vertical="center" wrapText="1"/>
    </xf>
    <xf numFmtId="49" fontId="4" fillId="29" borderId="16" xfId="0" applyNumberFormat="1" applyFont="1" applyFill="1" applyBorder="1" applyAlignment="1">
      <alignment horizontal="left" vertical="center" wrapText="1"/>
    </xf>
    <xf numFmtId="49" fontId="5" fillId="29" borderId="15" xfId="0" applyNumberFormat="1" applyFont="1" applyFill="1" applyBorder="1" applyAlignment="1">
      <alignment horizontal="left" vertical="center" wrapText="1"/>
    </xf>
    <xf numFmtId="49" fontId="5" fillId="29" borderId="16" xfId="0" applyNumberFormat="1" applyFont="1" applyFill="1" applyBorder="1" applyAlignment="1">
      <alignment horizontal="left" vertical="center" wrapText="1"/>
    </xf>
    <xf numFmtId="0" fontId="4" fillId="29" borderId="3" xfId="0" applyFont="1" applyFill="1" applyBorder="1" applyAlignment="1">
      <alignment horizontal="center" vertical="center" wrapText="1"/>
    </xf>
    <xf numFmtId="0" fontId="6" fillId="29" borderId="3" xfId="0" applyFont="1" applyFill="1" applyBorder="1" applyAlignment="1">
      <alignment horizontal="center" vertical="center" wrapText="1"/>
    </xf>
    <xf numFmtId="49" fontId="4" fillId="29" borderId="15" xfId="0" applyNumberFormat="1" applyFont="1" applyFill="1" applyBorder="1" applyAlignment="1">
      <alignment horizontal="left" vertical="center"/>
    </xf>
    <xf numFmtId="49" fontId="4" fillId="29" borderId="16" xfId="0" applyNumberFormat="1" applyFont="1" applyFill="1" applyBorder="1" applyAlignment="1">
      <alignment horizontal="left" vertical="center"/>
    </xf>
    <xf numFmtId="49" fontId="4" fillId="29" borderId="3" xfId="0" applyNumberFormat="1" applyFont="1" applyFill="1" applyBorder="1" applyAlignment="1">
      <alignment horizontal="left" vertical="center"/>
    </xf>
    <xf numFmtId="0" fontId="9" fillId="29" borderId="3" xfId="0" applyFont="1" applyFill="1" applyBorder="1" applyAlignment="1">
      <alignment horizontal="center" vertical="center"/>
    </xf>
    <xf numFmtId="0" fontId="4" fillId="29" borderId="3" xfId="0" applyFont="1" applyFill="1" applyBorder="1" applyAlignment="1">
      <alignment horizontal="left" vertical="center" wrapText="1"/>
    </xf>
    <xf numFmtId="0" fontId="6" fillId="29" borderId="15" xfId="0" applyFont="1" applyFill="1" applyBorder="1" applyAlignment="1">
      <alignment horizontal="center" vertical="center" wrapText="1"/>
    </xf>
    <xf numFmtId="0" fontId="6" fillId="29" borderId="16" xfId="0" applyFont="1" applyFill="1" applyBorder="1" applyAlignment="1">
      <alignment horizontal="center" vertical="center" wrapText="1"/>
    </xf>
    <xf numFmtId="0" fontId="78" fillId="29" borderId="14" xfId="0" applyFont="1" applyFill="1" applyBorder="1" applyAlignment="1">
      <alignment horizontal="center" vertical="center"/>
    </xf>
    <xf numFmtId="0" fontId="78" fillId="29" borderId="19" xfId="0" applyFont="1" applyFill="1" applyBorder="1" applyAlignment="1">
      <alignment horizontal="center" vertical="center"/>
    </xf>
    <xf numFmtId="0" fontId="78" fillId="29" borderId="13" xfId="0" applyFont="1" applyFill="1" applyBorder="1" applyAlignment="1">
      <alignment horizontal="right" vertical="center"/>
    </xf>
    <xf numFmtId="0" fontId="84" fillId="29" borderId="0" xfId="0" applyFont="1" applyFill="1" applyAlignment="1">
      <alignment horizontal="center" vertical="center" wrapText="1"/>
    </xf>
    <xf numFmtId="170" fontId="84" fillId="29" borderId="0" xfId="0" applyNumberFormat="1" applyFont="1" applyFill="1" applyAlignment="1">
      <alignment horizontal="center" vertical="center" wrapText="1"/>
    </xf>
    <xf numFmtId="0" fontId="84" fillId="29" borderId="0" xfId="0" applyFont="1" applyFill="1" applyBorder="1" applyAlignment="1">
      <alignment horizontal="center" vertical="center"/>
    </xf>
    <xf numFmtId="0" fontId="78" fillId="29" borderId="0" xfId="0" applyFont="1" applyFill="1" applyAlignment="1">
      <alignment horizontal="center" vertical="center"/>
    </xf>
    <xf numFmtId="0" fontId="73" fillId="29" borderId="0" xfId="0" applyFont="1" applyFill="1" applyAlignment="1">
      <alignment horizontal="center" vertical="center" wrapText="1"/>
    </xf>
    <xf numFmtId="170" fontId="78" fillId="29" borderId="0" xfId="0" applyNumberFormat="1" applyFont="1" applyFill="1" applyBorder="1" applyAlignment="1" applyProtection="1">
      <alignment horizontal="center" vertical="center" wrapText="1"/>
      <protection locked="0"/>
    </xf>
    <xf numFmtId="0" fontId="74" fillId="29" borderId="0" xfId="238" applyFont="1" applyFill="1" applyAlignment="1">
      <alignment horizontal="center" vertical="center" wrapText="1"/>
    </xf>
    <xf numFmtId="0" fontId="5" fillId="29" borderId="14" xfId="238" applyFont="1" applyFill="1" applyBorder="1" applyAlignment="1">
      <alignment horizontal="center" vertical="center" wrapText="1"/>
    </xf>
    <xf numFmtId="0" fontId="5" fillId="29" borderId="19" xfId="238" applyFont="1" applyFill="1" applyBorder="1" applyAlignment="1">
      <alignment horizontal="center" vertical="center" wrapText="1"/>
    </xf>
    <xf numFmtId="0" fontId="5" fillId="29" borderId="3" xfId="0" applyFont="1" applyFill="1" applyBorder="1" applyAlignment="1">
      <alignment horizontal="center" vertical="center" wrapText="1"/>
    </xf>
    <xf numFmtId="0" fontId="0" fillId="29" borderId="17" xfId="0" applyFill="1" applyBorder="1" applyAlignment="1">
      <alignment horizontal="center" vertical="center" wrapText="1"/>
    </xf>
    <xf numFmtId="0" fontId="0" fillId="29" borderId="16" xfId="0" applyFill="1" applyBorder="1" applyAlignment="1">
      <alignment horizontal="center" vertical="center" wrapText="1"/>
    </xf>
    <xf numFmtId="177" fontId="78" fillId="29" borderId="15" xfId="0" applyNumberFormat="1" applyFont="1" applyFill="1" applyBorder="1" applyAlignment="1">
      <alignment horizontal="center" vertical="center" wrapText="1"/>
    </xf>
    <xf numFmtId="177" fontId="78" fillId="29" borderId="16" xfId="0" applyNumberFormat="1" applyFont="1" applyFill="1" applyBorder="1" applyAlignment="1">
      <alignment horizontal="center" vertical="center" wrapText="1"/>
    </xf>
    <xf numFmtId="3" fontId="5" fillId="29" borderId="15" xfId="0" applyNumberFormat="1" applyFont="1" applyFill="1" applyBorder="1" applyAlignment="1">
      <alignment horizontal="center" vertical="center" wrapText="1"/>
    </xf>
    <xf numFmtId="3" fontId="5" fillId="29" borderId="17" xfId="0" applyNumberFormat="1" applyFont="1" applyFill="1" applyBorder="1" applyAlignment="1">
      <alignment horizontal="center" vertical="center" wrapText="1"/>
    </xf>
    <xf numFmtId="3" fontId="5" fillId="29" borderId="16" xfId="0" applyNumberFormat="1" applyFont="1" applyFill="1" applyBorder="1" applyAlignment="1">
      <alignment horizontal="center" vertical="center" wrapText="1"/>
    </xf>
    <xf numFmtId="177" fontId="73" fillId="29" borderId="0" xfId="0" applyNumberFormat="1" applyFont="1" applyFill="1" applyAlignment="1">
      <alignment horizontal="center" vertical="center" wrapText="1"/>
    </xf>
    <xf numFmtId="177" fontId="78" fillId="29" borderId="0" xfId="0" applyNumberFormat="1" applyFont="1" applyFill="1" applyAlignment="1">
      <alignment horizontal="center" vertical="center" wrapText="1"/>
    </xf>
    <xf numFmtId="0" fontId="5" fillId="29" borderId="0" xfId="0" applyFont="1" applyFill="1" applyAlignment="1">
      <alignment horizontal="center" vertical="center"/>
    </xf>
    <xf numFmtId="0" fontId="0" fillId="29" borderId="0" xfId="0" applyFill="1" applyAlignment="1">
      <alignment horizontal="center" vertical="center"/>
    </xf>
    <xf numFmtId="177" fontId="78" fillId="29" borderId="17" xfId="0" applyNumberFormat="1" applyFont="1" applyFill="1" applyBorder="1" applyAlignment="1">
      <alignment horizontal="center" vertical="center" wrapText="1"/>
    </xf>
    <xf numFmtId="0" fontId="78" fillId="29" borderId="15" xfId="0" applyFont="1" applyFill="1" applyBorder="1" applyAlignment="1">
      <alignment horizontal="center" vertical="center"/>
    </xf>
    <xf numFmtId="0" fontId="78" fillId="29" borderId="16" xfId="0" applyFont="1" applyFill="1" applyBorder="1" applyAlignment="1">
      <alignment horizontal="center" vertical="center"/>
    </xf>
    <xf numFmtId="177" fontId="73" fillId="29" borderId="15" xfId="0" applyNumberFormat="1" applyFont="1" applyFill="1" applyBorder="1" applyAlignment="1">
      <alignment horizontal="center" vertical="center" wrapText="1"/>
    </xf>
    <xf numFmtId="177" fontId="73" fillId="29" borderId="16" xfId="0" applyNumberFormat="1" applyFont="1" applyFill="1" applyBorder="1" applyAlignment="1">
      <alignment horizontal="center" vertical="center" wrapText="1"/>
    </xf>
    <xf numFmtId="0" fontId="78" fillId="29" borderId="3" xfId="0" applyFont="1" applyFill="1" applyBorder="1" applyAlignment="1">
      <alignment horizontal="left" vertical="center" wrapText="1"/>
    </xf>
    <xf numFmtId="3" fontId="78" fillId="29" borderId="15" xfId="0" applyNumberFormat="1" applyFont="1" applyFill="1" applyBorder="1" applyAlignment="1">
      <alignment horizontal="center" vertical="center" wrapText="1"/>
    </xf>
    <xf numFmtId="3" fontId="78" fillId="29" borderId="16" xfId="0" applyNumberFormat="1" applyFont="1" applyFill="1" applyBorder="1" applyAlignment="1">
      <alignment horizontal="center" vertical="center" wrapText="1"/>
    </xf>
    <xf numFmtId="0" fontId="5" fillId="29" borderId="15" xfId="0" applyFont="1" applyFill="1" applyBorder="1" applyAlignment="1">
      <alignment horizontal="left" vertical="center" wrapText="1"/>
    </xf>
    <xf numFmtId="0" fontId="5" fillId="29" borderId="17" xfId="0" applyFont="1" applyFill="1" applyBorder="1" applyAlignment="1">
      <alignment horizontal="left" vertical="center" wrapText="1"/>
    </xf>
    <xf numFmtId="0" fontId="5" fillId="29" borderId="16" xfId="0" applyFont="1" applyFill="1" applyBorder="1" applyAlignment="1">
      <alignment horizontal="left" vertical="center" wrapText="1"/>
    </xf>
    <xf numFmtId="0" fontId="5" fillId="29" borderId="3" xfId="0" applyFont="1" applyFill="1" applyBorder="1" applyAlignment="1">
      <alignment horizontal="left" vertical="center" wrapText="1"/>
    </xf>
    <xf numFmtId="178" fontId="78" fillId="29" borderId="15" xfId="207" applyNumberFormat="1" applyFont="1" applyFill="1" applyBorder="1" applyAlignment="1">
      <alignment horizontal="right" vertical="center" wrapText="1"/>
    </xf>
    <xf numFmtId="178" fontId="78" fillId="29" borderId="16" xfId="207" applyNumberFormat="1" applyFont="1" applyFill="1" applyBorder="1" applyAlignment="1">
      <alignment horizontal="right" vertical="center" wrapText="1"/>
    </xf>
    <xf numFmtId="0" fontId="78" fillId="29" borderId="0" xfId="0" applyFont="1" applyFill="1" applyAlignment="1">
      <alignment horizontal="justify" vertical="center" wrapText="1" shrinkToFit="1"/>
    </xf>
    <xf numFmtId="0" fontId="78" fillId="29" borderId="15" xfId="0" applyFont="1" applyFill="1" applyBorder="1" applyAlignment="1">
      <alignment horizontal="center" vertical="center" wrapText="1"/>
    </xf>
    <xf numFmtId="0" fontId="78" fillId="29" borderId="16" xfId="0" applyFont="1" applyFill="1" applyBorder="1" applyAlignment="1">
      <alignment horizontal="center" vertical="center" wrapText="1"/>
    </xf>
    <xf numFmtId="0" fontId="78" fillId="29" borderId="17" xfId="0" applyFont="1" applyFill="1" applyBorder="1" applyAlignment="1">
      <alignment horizontal="center" vertical="center" wrapText="1"/>
    </xf>
    <xf numFmtId="177" fontId="78" fillId="29" borderId="3" xfId="0" applyNumberFormat="1" applyFont="1" applyFill="1" applyBorder="1" applyAlignment="1">
      <alignment horizontal="center" vertical="center" wrapText="1"/>
    </xf>
    <xf numFmtId="0" fontId="73" fillId="29" borderId="15" xfId="0" applyFont="1" applyFill="1" applyBorder="1" applyAlignment="1">
      <alignment horizontal="left" vertical="center"/>
    </xf>
    <xf numFmtId="0" fontId="73" fillId="29" borderId="17" xfId="0" applyFont="1" applyFill="1" applyBorder="1" applyAlignment="1">
      <alignment horizontal="left" vertical="center"/>
    </xf>
    <xf numFmtId="0" fontId="73" fillId="29" borderId="16" xfId="0" applyFont="1" applyFill="1" applyBorder="1" applyAlignment="1">
      <alignment horizontal="left" vertical="center"/>
    </xf>
    <xf numFmtId="178" fontId="73" fillId="29" borderId="15" xfId="207" applyNumberFormat="1" applyFont="1" applyFill="1" applyBorder="1" applyAlignment="1">
      <alignment horizontal="right" vertical="center" wrapText="1"/>
    </xf>
    <xf numFmtId="178" fontId="73" fillId="29" borderId="16" xfId="207" applyNumberFormat="1" applyFont="1" applyFill="1" applyBorder="1" applyAlignment="1">
      <alignment horizontal="right" vertical="center" wrapText="1"/>
    </xf>
    <xf numFmtId="0" fontId="74" fillId="29" borderId="0" xfId="0" applyFont="1" applyFill="1" applyAlignment="1">
      <alignment vertical="center"/>
    </xf>
    <xf numFmtId="177" fontId="73" fillId="29" borderId="17" xfId="0" applyNumberFormat="1" applyFont="1" applyFill="1" applyBorder="1" applyAlignment="1">
      <alignment horizontal="center" vertical="center" wrapText="1"/>
    </xf>
    <xf numFmtId="177" fontId="73" fillId="29" borderId="3" xfId="0" applyNumberFormat="1" applyFont="1" applyFill="1" applyBorder="1" applyAlignment="1">
      <alignment horizontal="center" vertical="center" wrapText="1"/>
    </xf>
    <xf numFmtId="0" fontId="5" fillId="29" borderId="17" xfId="0" applyFont="1" applyFill="1" applyBorder="1" applyAlignment="1">
      <alignment horizontal="center" vertical="center" wrapText="1"/>
    </xf>
    <xf numFmtId="0" fontId="5" fillId="29" borderId="0" xfId="0" applyFont="1" applyFill="1" applyAlignment="1">
      <alignment vertical="center"/>
    </xf>
    <xf numFmtId="3" fontId="73" fillId="29" borderId="15" xfId="0" applyNumberFormat="1" applyFont="1" applyFill="1" applyBorder="1" applyAlignment="1">
      <alignment horizontal="center" vertical="center" wrapText="1"/>
    </xf>
    <xf numFmtId="3" fontId="73" fillId="29" borderId="16" xfId="0" applyNumberFormat="1" applyFont="1" applyFill="1" applyBorder="1" applyAlignment="1">
      <alignment horizontal="center" vertical="center" wrapText="1"/>
    </xf>
    <xf numFmtId="0" fontId="73" fillId="29" borderId="3" xfId="0" applyFont="1" applyFill="1" applyBorder="1" applyAlignment="1">
      <alignment horizontal="center" vertical="center" wrapText="1"/>
    </xf>
    <xf numFmtId="0" fontId="78" fillId="29" borderId="17" xfId="0" applyFont="1" applyFill="1" applyBorder="1" applyAlignment="1">
      <alignment horizontal="center" vertical="center"/>
    </xf>
    <xf numFmtId="3" fontId="73" fillId="29" borderId="3" xfId="0" applyNumberFormat="1" applyFont="1" applyFill="1" applyBorder="1" applyAlignment="1">
      <alignment horizontal="center" vertical="center" wrapText="1"/>
    </xf>
    <xf numFmtId="0" fontId="78" fillId="29" borderId="26" xfId="0" applyFont="1" applyFill="1" applyBorder="1" applyAlignment="1">
      <alignment horizontal="center" vertical="center" wrapText="1"/>
    </xf>
    <xf numFmtId="0" fontId="78" fillId="29" borderId="18" xfId="0" applyFont="1" applyFill="1" applyBorder="1" applyAlignment="1">
      <alignment horizontal="center" vertical="center" wrapText="1"/>
    </xf>
    <xf numFmtId="0" fontId="78" fillId="29" borderId="27" xfId="0" applyFont="1" applyFill="1" applyBorder="1" applyAlignment="1">
      <alignment horizontal="center" vertical="center" wrapText="1"/>
    </xf>
    <xf numFmtId="0" fontId="78" fillId="29" borderId="28" xfId="0" applyFont="1" applyFill="1" applyBorder="1" applyAlignment="1">
      <alignment horizontal="center" vertical="center" wrapText="1"/>
    </xf>
    <xf numFmtId="0" fontId="78" fillId="29" borderId="13" xfId="0" applyFont="1" applyFill="1" applyBorder="1" applyAlignment="1">
      <alignment horizontal="center" vertical="center" wrapText="1"/>
    </xf>
    <xf numFmtId="0" fontId="78" fillId="29" borderId="29" xfId="0" applyFont="1" applyFill="1" applyBorder="1" applyAlignment="1">
      <alignment horizontal="center" vertical="center" wrapText="1"/>
    </xf>
    <xf numFmtId="0" fontId="73" fillId="29" borderId="3" xfId="0" applyFont="1" applyFill="1" applyBorder="1" applyAlignment="1">
      <alignment horizontal="center" vertical="center"/>
    </xf>
    <xf numFmtId="170" fontId="78" fillId="29" borderId="15" xfId="0" applyNumberFormat="1" applyFont="1" applyFill="1" applyBorder="1" applyAlignment="1">
      <alignment horizontal="center" vertical="center"/>
    </xf>
    <xf numFmtId="170" fontId="0" fillId="29" borderId="16" xfId="0" applyNumberFormat="1" applyFill="1" applyBorder="1" applyAlignment="1">
      <alignment horizontal="center" vertical="center"/>
    </xf>
    <xf numFmtId="170" fontId="5" fillId="29" borderId="15" xfId="0" applyNumberFormat="1" applyFont="1" applyFill="1" applyBorder="1" applyAlignment="1">
      <alignment horizontal="center" vertical="center" wrapText="1"/>
    </xf>
    <xf numFmtId="170" fontId="5" fillId="29" borderId="16" xfId="0" applyNumberFormat="1" applyFont="1" applyFill="1" applyBorder="1" applyAlignment="1">
      <alignment horizontal="center" vertical="center" wrapText="1"/>
    </xf>
    <xf numFmtId="49" fontId="78" fillId="29" borderId="15" xfId="0" applyNumberFormat="1" applyFont="1" applyFill="1" applyBorder="1" applyAlignment="1">
      <alignment horizontal="left" vertical="center" wrapText="1"/>
    </xf>
    <xf numFmtId="49" fontId="78" fillId="29" borderId="17" xfId="0" applyNumberFormat="1" applyFont="1" applyFill="1" applyBorder="1" applyAlignment="1">
      <alignment horizontal="left" vertical="center" wrapText="1"/>
    </xf>
    <xf numFmtId="49" fontId="78" fillId="29" borderId="16" xfId="0" applyNumberFormat="1" applyFont="1" applyFill="1" applyBorder="1" applyAlignment="1">
      <alignment horizontal="left" vertical="center" wrapText="1"/>
    </xf>
    <xf numFmtId="0" fontId="78" fillId="29" borderId="30" xfId="0" applyFont="1" applyFill="1" applyBorder="1" applyAlignment="1">
      <alignment horizontal="center" vertical="center" wrapText="1"/>
    </xf>
    <xf numFmtId="0" fontId="78" fillId="29" borderId="31" xfId="0" applyFont="1" applyFill="1" applyBorder="1" applyAlignment="1">
      <alignment horizontal="center" vertical="center" wrapText="1"/>
    </xf>
    <xf numFmtId="2" fontId="78" fillId="29" borderId="15" xfId="0" applyNumberFormat="1" applyFont="1" applyFill="1" applyBorder="1" applyAlignment="1">
      <alignment horizontal="center" vertical="center" wrapText="1"/>
    </xf>
    <xf numFmtId="2" fontId="78" fillId="29" borderId="17" xfId="0" applyNumberFormat="1" applyFont="1" applyFill="1" applyBorder="1" applyAlignment="1">
      <alignment horizontal="center" vertical="center" wrapText="1"/>
    </xf>
    <xf numFmtId="2" fontId="78" fillId="29" borderId="16" xfId="0" applyNumberFormat="1" applyFont="1" applyFill="1" applyBorder="1" applyAlignment="1">
      <alignment horizontal="center" vertical="center" wrapText="1"/>
    </xf>
    <xf numFmtId="2" fontId="78" fillId="29" borderId="14" xfId="0" applyNumberFormat="1" applyFont="1" applyFill="1" applyBorder="1" applyAlignment="1">
      <alignment horizontal="center" vertical="center" wrapText="1"/>
    </xf>
    <xf numFmtId="2" fontId="78" fillId="29" borderId="19" xfId="0" applyNumberFormat="1" applyFont="1" applyFill="1" applyBorder="1" applyAlignment="1">
      <alignment horizontal="center" vertical="center" wrapText="1"/>
    </xf>
    <xf numFmtId="3" fontId="83" fillId="29" borderId="15" xfId="0" applyNumberFormat="1" applyFont="1" applyFill="1" applyBorder="1" applyAlignment="1">
      <alignment horizontal="left" vertical="center" wrapText="1" shrinkToFit="1"/>
    </xf>
    <xf numFmtId="3" fontId="83" fillId="29" borderId="17" xfId="0" applyNumberFormat="1" applyFont="1" applyFill="1" applyBorder="1" applyAlignment="1">
      <alignment horizontal="left" vertical="center" wrapText="1" shrinkToFit="1"/>
    </xf>
    <xf numFmtId="3" fontId="83" fillId="29" borderId="16" xfId="0" applyNumberFormat="1" applyFont="1" applyFill="1" applyBorder="1" applyAlignment="1">
      <alignment horizontal="left" vertical="center" wrapText="1" shrinkToFit="1"/>
    </xf>
    <xf numFmtId="49" fontId="85" fillId="29" borderId="15" xfId="0" applyNumberFormat="1" applyFont="1" applyFill="1" applyBorder="1" applyAlignment="1">
      <alignment horizontal="left" vertical="center" wrapText="1"/>
    </xf>
    <xf numFmtId="49" fontId="85" fillId="29" borderId="16" xfId="0" applyNumberFormat="1" applyFont="1" applyFill="1" applyBorder="1" applyAlignment="1">
      <alignment horizontal="left" vertical="center" wrapText="1"/>
    </xf>
    <xf numFmtId="3" fontId="78" fillId="29" borderId="15" xfId="0" applyNumberFormat="1" applyFont="1" applyFill="1" applyBorder="1" applyAlignment="1">
      <alignment horizontal="center" vertical="center" wrapText="1" shrinkToFit="1"/>
    </xf>
    <xf numFmtId="3" fontId="78" fillId="29" borderId="16" xfId="0" applyNumberFormat="1" applyFont="1" applyFill="1" applyBorder="1" applyAlignment="1">
      <alignment horizontal="center" vertical="center" wrapText="1" shrinkToFit="1"/>
    </xf>
    <xf numFmtId="0" fontId="73" fillId="29" borderId="15" xfId="0" applyFont="1" applyFill="1" applyBorder="1" applyAlignment="1">
      <alignment horizontal="left" vertical="center" wrapText="1" shrinkToFit="1"/>
    </xf>
    <xf numFmtId="0" fontId="73" fillId="29" borderId="17" xfId="0" applyFont="1" applyFill="1" applyBorder="1" applyAlignment="1">
      <alignment horizontal="left" vertical="center" wrapText="1" shrinkToFit="1"/>
    </xf>
    <xf numFmtId="0" fontId="73" fillId="29" borderId="16" xfId="0" applyFont="1" applyFill="1" applyBorder="1" applyAlignment="1">
      <alignment horizontal="left" vertical="center" wrapText="1" shrinkToFit="1"/>
    </xf>
    <xf numFmtId="0" fontId="78" fillId="29" borderId="15" xfId="0" applyFont="1" applyFill="1" applyBorder="1" applyAlignment="1">
      <alignment horizontal="left" vertical="center" wrapText="1"/>
    </xf>
    <xf numFmtId="0" fontId="78" fillId="29" borderId="16" xfId="0" applyFont="1" applyFill="1" applyBorder="1" applyAlignment="1">
      <alignment horizontal="left" vertical="center" wrapText="1"/>
    </xf>
    <xf numFmtId="178" fontId="73" fillId="29" borderId="15" xfId="0" applyNumberFormat="1" applyFont="1" applyFill="1" applyBorder="1" applyAlignment="1">
      <alignment horizontal="center" vertical="center" wrapText="1"/>
    </xf>
    <xf numFmtId="178" fontId="73" fillId="29" borderId="17" xfId="0" applyNumberFormat="1" applyFont="1" applyFill="1" applyBorder="1" applyAlignment="1">
      <alignment horizontal="center" vertical="center" wrapText="1"/>
    </xf>
    <xf numFmtId="178" fontId="73" fillId="29" borderId="16" xfId="0" applyNumberFormat="1" applyFont="1" applyFill="1" applyBorder="1" applyAlignment="1">
      <alignment horizontal="center" vertical="center" wrapText="1"/>
    </xf>
    <xf numFmtId="3" fontId="78" fillId="29" borderId="3" xfId="0" applyNumberFormat="1" applyFont="1" applyFill="1" applyBorder="1" applyAlignment="1">
      <alignment horizontal="center" vertical="center" wrapText="1" shrinkToFit="1"/>
    </xf>
    <xf numFmtId="49" fontId="5" fillId="29" borderId="17" xfId="0" applyNumberFormat="1" applyFont="1" applyFill="1" applyBorder="1" applyAlignment="1">
      <alignment horizontal="left" vertical="center" wrapText="1"/>
    </xf>
    <xf numFmtId="0" fontId="78" fillId="29" borderId="15" xfId="0" applyFont="1" applyFill="1" applyBorder="1" applyAlignment="1">
      <alignment horizontal="left" vertical="center" wrapText="1" shrinkToFit="1"/>
    </xf>
    <xf numFmtId="0" fontId="78" fillId="29" borderId="17" xfId="0" applyFont="1" applyFill="1" applyBorder="1" applyAlignment="1">
      <alignment horizontal="left" vertical="center" wrapText="1" shrinkToFit="1"/>
    </xf>
    <xf numFmtId="0" fontId="78" fillId="29" borderId="16" xfId="0" applyFont="1" applyFill="1" applyBorder="1" applyAlignment="1">
      <alignment horizontal="left" vertical="center" wrapText="1" shrinkToFit="1"/>
    </xf>
    <xf numFmtId="0" fontId="4" fillId="29" borderId="15" xfId="0" applyFont="1" applyFill="1" applyBorder="1" applyAlignment="1">
      <alignment horizontal="left" vertical="center" wrapText="1" shrinkToFit="1"/>
    </xf>
    <xf numFmtId="0" fontId="4" fillId="29" borderId="17" xfId="0" applyFont="1" applyFill="1" applyBorder="1" applyAlignment="1">
      <alignment horizontal="left" vertical="center" wrapText="1" shrinkToFit="1"/>
    </xf>
    <xf numFmtId="0" fontId="4" fillId="29" borderId="16" xfId="0" applyFont="1" applyFill="1" applyBorder="1" applyAlignment="1">
      <alignment horizontal="left" vertical="center" wrapText="1" shrinkToFit="1"/>
    </xf>
    <xf numFmtId="3" fontId="84" fillId="29" borderId="3" xfId="0" applyNumberFormat="1" applyFont="1" applyFill="1" applyBorder="1" applyAlignment="1">
      <alignment horizontal="center" vertical="center" wrapText="1"/>
    </xf>
    <xf numFmtId="178" fontId="78" fillId="29" borderId="15" xfId="0" applyNumberFormat="1" applyFont="1" applyFill="1" applyBorder="1" applyAlignment="1">
      <alignment horizontal="center" vertical="center" wrapText="1"/>
    </xf>
    <xf numFmtId="178" fontId="78" fillId="29" borderId="17" xfId="0" applyNumberFormat="1" applyFont="1" applyFill="1" applyBorder="1" applyAlignment="1">
      <alignment horizontal="center" vertical="center" wrapText="1"/>
    </xf>
    <xf numFmtId="178" fontId="78" fillId="29" borderId="16" xfId="0" applyNumberFormat="1" applyFont="1" applyFill="1" applyBorder="1" applyAlignment="1">
      <alignment horizontal="center" vertical="center" wrapText="1"/>
    </xf>
    <xf numFmtId="49" fontId="78" fillId="29" borderId="15" xfId="0" applyNumberFormat="1" applyFont="1" applyFill="1" applyBorder="1" applyAlignment="1">
      <alignment horizontal="center" vertical="center" wrapText="1"/>
    </xf>
    <xf numFmtId="49" fontId="78" fillId="29" borderId="16" xfId="0" applyNumberFormat="1" applyFont="1" applyFill="1" applyBorder="1" applyAlignment="1">
      <alignment horizontal="center" vertical="center" wrapText="1"/>
    </xf>
    <xf numFmtId="49" fontId="73" fillId="29" borderId="15" xfId="0" applyNumberFormat="1" applyFont="1" applyFill="1" applyBorder="1" applyAlignment="1">
      <alignment horizontal="left" vertical="center" wrapText="1"/>
    </xf>
    <xf numFmtId="49" fontId="73" fillId="29" borderId="17" xfId="0" applyNumberFormat="1" applyFont="1" applyFill="1" applyBorder="1" applyAlignment="1">
      <alignment horizontal="left" vertical="center" wrapText="1"/>
    </xf>
    <xf numFmtId="49" fontId="73" fillId="29" borderId="16" xfId="0" applyNumberFormat="1" applyFont="1" applyFill="1" applyBorder="1" applyAlignment="1">
      <alignment horizontal="left" vertical="center" wrapText="1"/>
    </xf>
    <xf numFmtId="169" fontId="107" fillId="29" borderId="0" xfId="0" applyNumberFormat="1" applyFont="1" applyFill="1" applyAlignment="1">
      <alignment horizontal="center"/>
    </xf>
    <xf numFmtId="0" fontId="108" fillId="29" borderId="0" xfId="0" applyFont="1" applyFill="1" applyAlignment="1">
      <alignment horizontal="center"/>
    </xf>
    <xf numFmtId="3" fontId="73" fillId="29" borderId="3" xfId="0" applyNumberFormat="1" applyFont="1" applyFill="1" applyBorder="1" applyAlignment="1">
      <alignment horizontal="left" vertical="center" wrapText="1"/>
    </xf>
    <xf numFmtId="0" fontId="73" fillId="29" borderId="15" xfId="0" applyFont="1" applyFill="1" applyBorder="1" applyAlignment="1">
      <alignment horizontal="left"/>
    </xf>
    <xf numFmtId="0" fontId="73" fillId="29" borderId="17" xfId="0" applyFont="1" applyFill="1" applyBorder="1" applyAlignment="1">
      <alignment horizontal="left"/>
    </xf>
    <xf numFmtId="0" fontId="73" fillId="29" borderId="16" xfId="0" applyFont="1" applyFill="1" applyBorder="1" applyAlignment="1">
      <alignment horizontal="left"/>
    </xf>
    <xf numFmtId="0" fontId="108" fillId="29" borderId="0" xfId="0" applyFont="1" applyFill="1" applyAlignment="1">
      <alignment horizontal="left"/>
    </xf>
    <xf numFmtId="179" fontId="78" fillId="29" borderId="15" xfId="0" applyNumberFormat="1" applyFont="1" applyFill="1" applyBorder="1" applyAlignment="1">
      <alignment horizontal="center" vertical="center" wrapText="1"/>
    </xf>
    <xf numFmtId="179" fontId="78" fillId="29" borderId="17" xfId="0" applyNumberFormat="1" applyFont="1" applyFill="1" applyBorder="1" applyAlignment="1">
      <alignment horizontal="center" vertical="center" wrapText="1"/>
    </xf>
    <xf numFmtId="179" fontId="78" fillId="29" borderId="16" xfId="0" applyNumberFormat="1" applyFont="1" applyFill="1" applyBorder="1" applyAlignment="1">
      <alignment horizontal="center" vertical="center" wrapText="1"/>
    </xf>
    <xf numFmtId="14" fontId="78" fillId="29" borderId="15" xfId="0" applyNumberFormat="1" applyFont="1" applyFill="1" applyBorder="1" applyAlignment="1">
      <alignment horizontal="center" vertical="center" wrapText="1"/>
    </xf>
    <xf numFmtId="14" fontId="78" fillId="29" borderId="17" xfId="0" applyNumberFormat="1" applyFont="1" applyFill="1" applyBorder="1" applyAlignment="1">
      <alignment horizontal="center" vertical="center" wrapText="1"/>
    </xf>
    <xf numFmtId="14" fontId="78" fillId="29" borderId="16" xfId="0" applyNumberFormat="1" applyFont="1" applyFill="1" applyBorder="1" applyAlignment="1">
      <alignment horizontal="center" vertical="center" wrapText="1"/>
    </xf>
    <xf numFmtId="177" fontId="78" fillId="29" borderId="15" xfId="0" applyNumberFormat="1" applyFont="1" applyFill="1" applyBorder="1" applyAlignment="1">
      <alignment horizontal="center" vertical="center"/>
    </xf>
    <xf numFmtId="177" fontId="78" fillId="29" borderId="17" xfId="0" applyNumberFormat="1" applyFont="1" applyFill="1" applyBorder="1" applyAlignment="1">
      <alignment horizontal="center" vertical="center"/>
    </xf>
    <xf numFmtId="177" fontId="78" fillId="29" borderId="16" xfId="0" applyNumberFormat="1" applyFont="1" applyFill="1" applyBorder="1" applyAlignment="1">
      <alignment horizontal="center" vertical="center"/>
    </xf>
    <xf numFmtId="0" fontId="78" fillId="29" borderId="14" xfId="0" applyFont="1" applyFill="1" applyBorder="1" applyAlignment="1">
      <alignment horizontal="center" vertical="center" wrapText="1" shrinkToFit="1"/>
    </xf>
    <xf numFmtId="0" fontId="78" fillId="29" borderId="19" xfId="0" applyFont="1" applyFill="1" applyBorder="1" applyAlignment="1">
      <alignment horizontal="center" vertical="center" wrapText="1" shrinkToFit="1"/>
    </xf>
    <xf numFmtId="0" fontId="78" fillId="29" borderId="26" xfId="0" applyFont="1" applyFill="1" applyBorder="1" applyAlignment="1">
      <alignment horizontal="center" vertical="center" wrapText="1" shrinkToFit="1"/>
    </xf>
    <xf numFmtId="0" fontId="78" fillId="29" borderId="27" xfId="0" applyFont="1" applyFill="1" applyBorder="1" applyAlignment="1">
      <alignment horizontal="center" vertical="center" wrapText="1" shrinkToFit="1"/>
    </xf>
    <xf numFmtId="0" fontId="78" fillId="29" borderId="28" xfId="0" applyFont="1" applyFill="1" applyBorder="1" applyAlignment="1">
      <alignment horizontal="center" vertical="center" wrapText="1" shrinkToFit="1"/>
    </xf>
    <xf numFmtId="0" fontId="78" fillId="29" borderId="29" xfId="0" applyFont="1" applyFill="1" applyBorder="1" applyAlignment="1">
      <alignment horizontal="center" vertical="center" wrapText="1" shrinkToFit="1"/>
    </xf>
    <xf numFmtId="0" fontId="78" fillId="29" borderId="30" xfId="0" applyFont="1" applyFill="1" applyBorder="1" applyAlignment="1">
      <alignment horizontal="center" vertical="center" wrapText="1" shrinkToFit="1"/>
    </xf>
    <xf numFmtId="0" fontId="78" fillId="29" borderId="31" xfId="0" applyFont="1" applyFill="1" applyBorder="1" applyAlignment="1">
      <alignment horizontal="center" vertical="center" wrapText="1" shrinkToFit="1"/>
    </xf>
    <xf numFmtId="0" fontId="78" fillId="29" borderId="15" xfId="0" applyFont="1" applyFill="1" applyBorder="1" applyAlignment="1">
      <alignment horizontal="center" vertical="center" wrapText="1" shrinkToFit="1"/>
    </xf>
    <xf numFmtId="0" fontId="78" fillId="29" borderId="16" xfId="0" applyFont="1" applyFill="1" applyBorder="1" applyAlignment="1">
      <alignment horizontal="center" vertical="center" wrapText="1" shrinkToFit="1"/>
    </xf>
    <xf numFmtId="49" fontId="78" fillId="29" borderId="15" xfId="0" applyNumberFormat="1" applyFont="1" applyFill="1" applyBorder="1" applyAlignment="1">
      <alignment horizontal="left" vertical="center" wrapText="1" shrinkToFit="1"/>
    </xf>
    <xf numFmtId="49" fontId="78" fillId="29" borderId="17" xfId="0" applyNumberFormat="1" applyFont="1" applyFill="1" applyBorder="1" applyAlignment="1">
      <alignment horizontal="left" vertical="center" wrapText="1" shrinkToFit="1"/>
    </xf>
    <xf numFmtId="49" fontId="78" fillId="29" borderId="16" xfId="0" applyNumberFormat="1" applyFont="1" applyFill="1" applyBorder="1" applyAlignment="1">
      <alignment horizontal="left" vertical="center" wrapText="1" shrinkToFit="1"/>
    </xf>
    <xf numFmtId="0" fontId="78" fillId="29" borderId="18" xfId="0" applyFont="1" applyFill="1" applyBorder="1" applyAlignment="1">
      <alignment horizontal="center" vertical="center"/>
    </xf>
    <xf numFmtId="0" fontId="78" fillId="29" borderId="27" xfId="0" applyFont="1" applyFill="1" applyBorder="1" applyAlignment="1">
      <alignment horizontal="center" vertical="center"/>
    </xf>
    <xf numFmtId="0" fontId="78" fillId="29" borderId="28" xfId="0" applyFont="1" applyFill="1" applyBorder="1" applyAlignment="1">
      <alignment horizontal="center" vertical="center"/>
    </xf>
    <xf numFmtId="0" fontId="78" fillId="29" borderId="13" xfId="0" applyFont="1" applyFill="1" applyBorder="1" applyAlignment="1">
      <alignment horizontal="center" vertical="center"/>
    </xf>
    <xf numFmtId="0" fontId="78" fillId="29" borderId="29" xfId="0" applyFont="1" applyFill="1" applyBorder="1" applyAlignment="1">
      <alignment horizontal="center" vertical="center"/>
    </xf>
    <xf numFmtId="0" fontId="70" fillId="29" borderId="0" xfId="0" applyFont="1" applyFill="1" applyAlignment="1">
      <alignment vertical="center" wrapText="1"/>
    </xf>
    <xf numFmtId="0" fontId="0" fillId="29" borderId="0" xfId="0" applyFill="1" applyAlignment="1">
      <alignment vertical="center" wrapText="1"/>
    </xf>
    <xf numFmtId="0" fontId="78" fillId="29" borderId="0" xfId="0" applyFont="1" applyFill="1" applyAlignment="1">
      <alignment horizontal="right" vertical="center"/>
    </xf>
    <xf numFmtId="3" fontId="78" fillId="29" borderId="3" xfId="0" applyNumberFormat="1" applyFont="1" applyFill="1" applyBorder="1" applyAlignment="1">
      <alignment horizontal="center" vertical="center" wrapText="1"/>
    </xf>
    <xf numFmtId="0" fontId="78" fillId="29" borderId="32" xfId="0" applyFont="1" applyFill="1" applyBorder="1" applyAlignment="1">
      <alignment horizontal="center" vertical="center" wrapText="1" shrinkToFit="1"/>
    </xf>
    <xf numFmtId="0" fontId="78" fillId="29" borderId="18" xfId="0" applyFont="1" applyFill="1" applyBorder="1" applyAlignment="1">
      <alignment horizontal="center" vertical="center" wrapText="1" shrinkToFit="1"/>
    </xf>
    <xf numFmtId="0" fontId="78" fillId="29" borderId="0" xfId="0" applyFont="1" applyFill="1" applyAlignment="1">
      <alignment horizontal="center" vertical="center" wrapText="1" shrinkToFit="1"/>
    </xf>
    <xf numFmtId="0" fontId="78" fillId="29" borderId="13" xfId="0" applyFont="1" applyFill="1" applyBorder="1" applyAlignment="1">
      <alignment horizontal="center" vertical="center" wrapText="1" shrinkToFit="1"/>
    </xf>
    <xf numFmtId="179" fontId="73" fillId="29" borderId="15" xfId="0" applyNumberFormat="1" applyFont="1" applyFill="1" applyBorder="1" applyAlignment="1">
      <alignment horizontal="center" vertical="center" wrapText="1"/>
    </xf>
    <xf numFmtId="179" fontId="73" fillId="29" borderId="17" xfId="0" applyNumberFormat="1" applyFont="1" applyFill="1" applyBorder="1" applyAlignment="1">
      <alignment horizontal="center" vertical="center" wrapText="1"/>
    </xf>
    <xf numFmtId="179" fontId="73" fillId="29" borderId="16" xfId="0" applyNumberFormat="1" applyFont="1" applyFill="1" applyBorder="1" applyAlignment="1">
      <alignment horizontal="center" vertical="center" wrapText="1"/>
    </xf>
    <xf numFmtId="0" fontId="73" fillId="29" borderId="15" xfId="0" applyFont="1" applyFill="1" applyBorder="1" applyAlignment="1">
      <alignment horizontal="center" vertical="center"/>
    </xf>
    <xf numFmtId="0" fontId="87" fillId="29" borderId="17" xfId="0" applyFont="1" applyFill="1" applyBorder="1" applyAlignment="1">
      <alignment horizontal="center" vertical="center"/>
    </xf>
    <xf numFmtId="0" fontId="87" fillId="29" borderId="16" xfId="0" applyFont="1" applyFill="1" applyBorder="1" applyAlignment="1">
      <alignment horizontal="center" vertical="center"/>
    </xf>
    <xf numFmtId="0" fontId="73" fillId="29" borderId="15" xfId="0" applyFont="1" applyFill="1" applyBorder="1" applyAlignment="1">
      <alignment horizontal="center" vertical="center" wrapText="1"/>
    </xf>
    <xf numFmtId="0" fontId="73" fillId="29" borderId="0" xfId="0" applyFont="1" applyFill="1" applyAlignment="1">
      <alignment horizontal="right" vertical="center"/>
    </xf>
    <xf numFmtId="0" fontId="5" fillId="29" borderId="13" xfId="0" applyFont="1" applyFill="1" applyBorder="1" applyAlignment="1">
      <alignment horizontal="right"/>
    </xf>
    <xf numFmtId="0" fontId="5" fillId="29" borderId="14" xfId="0" applyFont="1" applyFill="1" applyBorder="1" applyAlignment="1">
      <alignment horizontal="center" vertical="center"/>
    </xf>
    <xf numFmtId="0" fontId="5" fillId="29" borderId="19" xfId="0" applyFont="1" applyFill="1" applyBorder="1" applyAlignment="1">
      <alignment horizontal="center" vertical="center"/>
    </xf>
  </cellXfs>
  <cellStyles count="355">
    <cellStyle name="_Fakt_2" xfId="1"/>
    <cellStyle name="_rozhufrovka 2009" xfId="2"/>
    <cellStyle name="_АТиСТ 5а МТР липень 2008" xfId="3"/>
    <cellStyle name="_ПРГК сводний_" xfId="4"/>
    <cellStyle name="_УТГ" xfId="5"/>
    <cellStyle name="_Феодосия 5а МТР липень 2008" xfId="6"/>
    <cellStyle name="_ХТГ довідка." xfId="7"/>
    <cellStyle name="_Шебелинка 5а МТР липень 2008" xfId="8"/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20% - Акцент1 2" xfId="15"/>
    <cellStyle name="20% - Акцент1 3" xfId="16"/>
    <cellStyle name="20% - Акцент2 2" xfId="17"/>
    <cellStyle name="20% - Акцент2 3" xfId="18"/>
    <cellStyle name="20% - Акцент3 2" xfId="19"/>
    <cellStyle name="20% - Акцент3 3" xfId="20"/>
    <cellStyle name="20% - Акцент4 2" xfId="21"/>
    <cellStyle name="20% - Акцент4 3" xfId="22"/>
    <cellStyle name="20% - Акцент5 2" xfId="23"/>
    <cellStyle name="20% - Акцент5 3" xfId="24"/>
    <cellStyle name="20% - Акцент6 2" xfId="25"/>
    <cellStyle name="20% - Акцент6 3" xfId="26"/>
    <cellStyle name="40% - Accent1" xfId="27"/>
    <cellStyle name="40% - Accent2" xfId="28"/>
    <cellStyle name="40% - Accent3" xfId="29"/>
    <cellStyle name="40% - Accent4" xfId="30"/>
    <cellStyle name="40% - Accent5" xfId="31"/>
    <cellStyle name="40% - Accent6" xfId="32"/>
    <cellStyle name="40% - Акцент1 2" xfId="33"/>
    <cellStyle name="40% - Акцент1 3" xfId="34"/>
    <cellStyle name="40% - Акцент2 2" xfId="35"/>
    <cellStyle name="40% - Акцент2 3" xfId="36"/>
    <cellStyle name="40% - Акцент3 2" xfId="37"/>
    <cellStyle name="40% - Акцент3 3" xfId="38"/>
    <cellStyle name="40% - Акцент4 2" xfId="39"/>
    <cellStyle name="40% - Акцент4 3" xfId="40"/>
    <cellStyle name="40% - Акцент5 2" xfId="41"/>
    <cellStyle name="40% - Акцент5 3" xfId="42"/>
    <cellStyle name="40% - Акцент6 2" xfId="43"/>
    <cellStyle name="40% - Акцент6 3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60% - Акцент1 2" xfId="51"/>
    <cellStyle name="60% - Акцент1 3" xfId="52"/>
    <cellStyle name="60% - Акцент2 2" xfId="53"/>
    <cellStyle name="60% - Акцент2 3" xfId="54"/>
    <cellStyle name="60% - Акцент3 2" xfId="55"/>
    <cellStyle name="60% - Акцент3 3" xfId="56"/>
    <cellStyle name="60% - Акцент4 2" xfId="57"/>
    <cellStyle name="60% - Акцент4 3" xfId="58"/>
    <cellStyle name="60% - Акцент5 2" xfId="59"/>
    <cellStyle name="60% - Акцент5 3" xfId="60"/>
    <cellStyle name="60% - Акцент6 2" xfId="61"/>
    <cellStyle name="60% - Акцент6 3" xfId="62"/>
    <cellStyle name="Accent1" xfId="63"/>
    <cellStyle name="Accent2" xfId="64"/>
    <cellStyle name="Accent3" xfId="65"/>
    <cellStyle name="Accent4" xfId="66"/>
    <cellStyle name="Accent5" xfId="67"/>
    <cellStyle name="Accent6" xfId="68"/>
    <cellStyle name="Bad" xfId="69"/>
    <cellStyle name="Calculation" xfId="70"/>
    <cellStyle name="Check Cell" xfId="71"/>
    <cellStyle name="Column-Header" xfId="72"/>
    <cellStyle name="Column-Header 2" xfId="73"/>
    <cellStyle name="Column-Header 3" xfId="74"/>
    <cellStyle name="Column-Header 4" xfId="75"/>
    <cellStyle name="Column-Header 5" xfId="76"/>
    <cellStyle name="Column-Header 6" xfId="77"/>
    <cellStyle name="Column-Header 7" xfId="78"/>
    <cellStyle name="Column-Header 7 2" xfId="79"/>
    <cellStyle name="Column-Header 8" xfId="80"/>
    <cellStyle name="Column-Header 8 2" xfId="81"/>
    <cellStyle name="Column-Header 9" xfId="82"/>
    <cellStyle name="Column-Header 9 2" xfId="83"/>
    <cellStyle name="Column-Header_Zvit rux-koshtiv 2010 Департамент " xfId="84"/>
    <cellStyle name="Comma_2005_03_15-Финансовый_БГ" xfId="85"/>
    <cellStyle name="Define-Column" xfId="86"/>
    <cellStyle name="Define-Column 10" xfId="87"/>
    <cellStyle name="Define-Column 2" xfId="88"/>
    <cellStyle name="Define-Column 3" xfId="89"/>
    <cellStyle name="Define-Column 4" xfId="90"/>
    <cellStyle name="Define-Column 5" xfId="91"/>
    <cellStyle name="Define-Column 6" xfId="92"/>
    <cellStyle name="Define-Column 7" xfId="93"/>
    <cellStyle name="Define-Column 7 2" xfId="94"/>
    <cellStyle name="Define-Column 7 3" xfId="95"/>
    <cellStyle name="Define-Column 8" xfId="96"/>
    <cellStyle name="Define-Column 8 2" xfId="97"/>
    <cellStyle name="Define-Column 8 3" xfId="98"/>
    <cellStyle name="Define-Column 9" xfId="99"/>
    <cellStyle name="Define-Column 9 2" xfId="100"/>
    <cellStyle name="Define-Column 9 3" xfId="101"/>
    <cellStyle name="Define-Column_Zvit rux-koshtiv 2010 Департамент " xfId="102"/>
    <cellStyle name="Explanatory Text" xfId="103"/>
    <cellStyle name="FS10" xfId="104"/>
    <cellStyle name="Good" xfId="105"/>
    <cellStyle name="Heading 1" xfId="106"/>
    <cellStyle name="Heading 2" xfId="107"/>
    <cellStyle name="Heading 3" xfId="108"/>
    <cellStyle name="Heading 4" xfId="109"/>
    <cellStyle name="Hyperlink 2" xfId="110"/>
    <cellStyle name="Input" xfId="111"/>
    <cellStyle name="Level0" xfId="112"/>
    <cellStyle name="Level0 10" xfId="113"/>
    <cellStyle name="Level0 2" xfId="114"/>
    <cellStyle name="Level0 2 2" xfId="115"/>
    <cellStyle name="Level0 3" xfId="116"/>
    <cellStyle name="Level0 3 2" xfId="117"/>
    <cellStyle name="Level0 4" xfId="118"/>
    <cellStyle name="Level0 4 2" xfId="119"/>
    <cellStyle name="Level0 5" xfId="120"/>
    <cellStyle name="Level0 6" xfId="121"/>
    <cellStyle name="Level0 7" xfId="122"/>
    <cellStyle name="Level0 7 2" xfId="123"/>
    <cellStyle name="Level0 7 3" xfId="124"/>
    <cellStyle name="Level0 8" xfId="125"/>
    <cellStyle name="Level0 8 2" xfId="126"/>
    <cellStyle name="Level0 8 3" xfId="127"/>
    <cellStyle name="Level0 9" xfId="128"/>
    <cellStyle name="Level0 9 2" xfId="129"/>
    <cellStyle name="Level0 9 3" xfId="130"/>
    <cellStyle name="Level0_Zvit rux-koshtiv 2010 Департамент " xfId="131"/>
    <cellStyle name="Level1" xfId="132"/>
    <cellStyle name="Level1 2" xfId="133"/>
    <cellStyle name="Level1-Numbers" xfId="134"/>
    <cellStyle name="Level1-Numbers 2" xfId="135"/>
    <cellStyle name="Level1-Numbers-Hide" xfId="136"/>
    <cellStyle name="Level2" xfId="137"/>
    <cellStyle name="Level2 2" xfId="138"/>
    <cellStyle name="Level2-Hide" xfId="139"/>
    <cellStyle name="Level2-Hide 2" xfId="140"/>
    <cellStyle name="Level2-Numbers" xfId="141"/>
    <cellStyle name="Level2-Numbers 2" xfId="142"/>
    <cellStyle name="Level2-Numbers-Hide" xfId="143"/>
    <cellStyle name="Level3" xfId="144"/>
    <cellStyle name="Level3 2" xfId="145"/>
    <cellStyle name="Level3 3" xfId="146"/>
    <cellStyle name="Level3_План департамент_2010_1207" xfId="147"/>
    <cellStyle name="Level3-Hide" xfId="148"/>
    <cellStyle name="Level3-Hide 2" xfId="149"/>
    <cellStyle name="Level3-Numbers" xfId="150"/>
    <cellStyle name="Level3-Numbers 2" xfId="151"/>
    <cellStyle name="Level3-Numbers 3" xfId="152"/>
    <cellStyle name="Level3-Numbers_План департамент_2010_1207" xfId="153"/>
    <cellStyle name="Level3-Numbers-Hide" xfId="154"/>
    <cellStyle name="Level4" xfId="155"/>
    <cellStyle name="Level4 2" xfId="156"/>
    <cellStyle name="Level4-Hide" xfId="157"/>
    <cellStyle name="Level4-Hide 2" xfId="158"/>
    <cellStyle name="Level4-Numbers" xfId="159"/>
    <cellStyle name="Level4-Numbers 2" xfId="160"/>
    <cellStyle name="Level4-Numbers-Hide" xfId="161"/>
    <cellStyle name="Level5" xfId="162"/>
    <cellStyle name="Level5 2" xfId="163"/>
    <cellStyle name="Level5-Hide" xfId="164"/>
    <cellStyle name="Level5-Hide 2" xfId="165"/>
    <cellStyle name="Level5-Numbers" xfId="166"/>
    <cellStyle name="Level5-Numbers 2" xfId="167"/>
    <cellStyle name="Level5-Numbers-Hide" xfId="168"/>
    <cellStyle name="Level6" xfId="169"/>
    <cellStyle name="Level6 2" xfId="170"/>
    <cellStyle name="Level6-Hide" xfId="171"/>
    <cellStyle name="Level6-Hide 2" xfId="172"/>
    <cellStyle name="Level6-Numbers" xfId="173"/>
    <cellStyle name="Level6-Numbers 2" xfId="174"/>
    <cellStyle name="Level7" xfId="175"/>
    <cellStyle name="Level7-Hide" xfId="176"/>
    <cellStyle name="Level7-Numbers" xfId="177"/>
    <cellStyle name="Linked Cell" xfId="178"/>
    <cellStyle name="Neutral" xfId="179"/>
    <cellStyle name="Normal 2" xfId="180"/>
    <cellStyle name="Normal_2005_03_15-Финансовый_БГ" xfId="181"/>
    <cellStyle name="Normal_GSE DCF_Model_31_07_09 final" xfId="182"/>
    <cellStyle name="Note" xfId="183"/>
    <cellStyle name="Number-Cells" xfId="184"/>
    <cellStyle name="Number-Cells-Column2" xfId="185"/>
    <cellStyle name="Number-Cells-Column5" xfId="186"/>
    <cellStyle name="Output" xfId="187"/>
    <cellStyle name="Row-Header" xfId="188"/>
    <cellStyle name="Row-Header 2" xfId="189"/>
    <cellStyle name="Title" xfId="190"/>
    <cellStyle name="Total" xfId="191"/>
    <cellStyle name="Warning Text" xfId="192"/>
    <cellStyle name="Акцент1 2" xfId="193"/>
    <cellStyle name="Акцент1 3" xfId="194"/>
    <cellStyle name="Акцент2 2" xfId="195"/>
    <cellStyle name="Акцент2 3" xfId="196"/>
    <cellStyle name="Акцент3 2" xfId="197"/>
    <cellStyle name="Акцент3 3" xfId="198"/>
    <cellStyle name="Акцент4 2" xfId="199"/>
    <cellStyle name="Акцент4 3" xfId="200"/>
    <cellStyle name="Акцент5 2" xfId="201"/>
    <cellStyle name="Акцент5 3" xfId="202"/>
    <cellStyle name="Акцент6 2" xfId="203"/>
    <cellStyle name="Акцент6 3" xfId="204"/>
    <cellStyle name="Ввод  2" xfId="205"/>
    <cellStyle name="Ввод  3" xfId="206"/>
    <cellStyle name="Вывод 2" xfId="208"/>
    <cellStyle name="Вывод 3" xfId="209"/>
    <cellStyle name="Вычисление 2" xfId="210"/>
    <cellStyle name="Вычисление 3" xfId="211"/>
    <cellStyle name="Денежный 2" xfId="212"/>
    <cellStyle name="Заголовок 1 2" xfId="213"/>
    <cellStyle name="Заголовок 1 3" xfId="214"/>
    <cellStyle name="Заголовок 2 2" xfId="215"/>
    <cellStyle name="Заголовок 2 3" xfId="216"/>
    <cellStyle name="Заголовок 3 2" xfId="217"/>
    <cellStyle name="Заголовок 3 3" xfId="218"/>
    <cellStyle name="Заголовок 4 2" xfId="219"/>
    <cellStyle name="Заголовок 4 3" xfId="220"/>
    <cellStyle name="Звичайний 2 3" xfId="354"/>
    <cellStyle name="Итог 2" xfId="221"/>
    <cellStyle name="Итог 3" xfId="222"/>
    <cellStyle name="Контрольная ячейка 2" xfId="223"/>
    <cellStyle name="Контрольная ячейка 3" xfId="224"/>
    <cellStyle name="Название 2" xfId="225"/>
    <cellStyle name="Название 3" xfId="226"/>
    <cellStyle name="Нейтральный 2" xfId="227"/>
    <cellStyle name="Нейтральный 3" xfId="228"/>
    <cellStyle name="Обычный" xfId="0" builtinId="0"/>
    <cellStyle name="Обычный 10" xfId="229"/>
    <cellStyle name="Обычный 11" xfId="230"/>
    <cellStyle name="Обычный 12" xfId="231"/>
    <cellStyle name="Обычный 13" xfId="232"/>
    <cellStyle name="Обычный 14" xfId="233"/>
    <cellStyle name="Обычный 15" xfId="234"/>
    <cellStyle name="Обычный 16" xfId="235"/>
    <cellStyle name="Обычный 17" xfId="236"/>
    <cellStyle name="Обычный 18" xfId="237"/>
    <cellStyle name="Обычный 2" xfId="238"/>
    <cellStyle name="Обычный 2 10" xfId="239"/>
    <cellStyle name="Обычный 2 11" xfId="240"/>
    <cellStyle name="Обычный 2 12" xfId="241"/>
    <cellStyle name="Обычный 2 13" xfId="242"/>
    <cellStyle name="Обычный 2 14" xfId="243"/>
    <cellStyle name="Обычный 2 15" xfId="244"/>
    <cellStyle name="Обычный 2 16" xfId="245"/>
    <cellStyle name="Обычный 2 2" xfId="246"/>
    <cellStyle name="Обычный 2 2 2" xfId="247"/>
    <cellStyle name="Обычный 2 2 3" xfId="248"/>
    <cellStyle name="Обычный 2 2_Расшифровка прочих" xfId="249"/>
    <cellStyle name="Обычный 2 3" xfId="250"/>
    <cellStyle name="Обычный 2 4" xfId="251"/>
    <cellStyle name="Обычный 2 5" xfId="252"/>
    <cellStyle name="Обычный 2 6" xfId="253"/>
    <cellStyle name="Обычный 2 7" xfId="254"/>
    <cellStyle name="Обычный 2 8" xfId="255"/>
    <cellStyle name="Обычный 2 9" xfId="256"/>
    <cellStyle name="Обычный 2_2604-2010" xfId="257"/>
    <cellStyle name="Обычный 3" xfId="258"/>
    <cellStyle name="Обычный 3 10" xfId="259"/>
    <cellStyle name="Обычный 3 11" xfId="260"/>
    <cellStyle name="Обычный 3 12" xfId="261"/>
    <cellStyle name="Обычный 3 13" xfId="262"/>
    <cellStyle name="Обычный 3 14" xfId="263"/>
    <cellStyle name="Обычный 3 2" xfId="264"/>
    <cellStyle name="Обычный 3 3" xfId="265"/>
    <cellStyle name="Обычный 3 4" xfId="266"/>
    <cellStyle name="Обычный 3 5" xfId="267"/>
    <cellStyle name="Обычный 3 6" xfId="268"/>
    <cellStyle name="Обычный 3 7" xfId="269"/>
    <cellStyle name="Обычный 3 8" xfId="270"/>
    <cellStyle name="Обычный 3 9" xfId="271"/>
    <cellStyle name="Обычный 3_Дефицит_7 млрд_0608_бс" xfId="272"/>
    <cellStyle name="Обычный 4" xfId="273"/>
    <cellStyle name="Обычный 5" xfId="274"/>
    <cellStyle name="Обычный 5 2" xfId="275"/>
    <cellStyle name="Обычный 6" xfId="276"/>
    <cellStyle name="Обычный 6 2" xfId="277"/>
    <cellStyle name="Обычный 6 3" xfId="278"/>
    <cellStyle name="Обычный 6 4" xfId="279"/>
    <cellStyle name="Обычный 6_Дефицит_7 млрд_0608_бс" xfId="280"/>
    <cellStyle name="Обычный 7" xfId="281"/>
    <cellStyle name="Обычный 7 2" xfId="282"/>
    <cellStyle name="Обычный 8" xfId="283"/>
    <cellStyle name="Обычный 9" xfId="284"/>
    <cellStyle name="Обычный 9 2" xfId="285"/>
    <cellStyle name="Плохой 2" xfId="286"/>
    <cellStyle name="Плохой 3" xfId="287"/>
    <cellStyle name="Пояснение 2" xfId="288"/>
    <cellStyle name="Пояснение 3" xfId="289"/>
    <cellStyle name="Примечание 2" xfId="290"/>
    <cellStyle name="Примечание 3" xfId="291"/>
    <cellStyle name="Процентный" xfId="207" builtinId="5"/>
    <cellStyle name="Процентный 2" xfId="292"/>
    <cellStyle name="Процентный 2 10" xfId="293"/>
    <cellStyle name="Процентный 2 11" xfId="294"/>
    <cellStyle name="Процентный 2 12" xfId="295"/>
    <cellStyle name="Процентный 2 13" xfId="296"/>
    <cellStyle name="Процентный 2 14" xfId="297"/>
    <cellStyle name="Процентный 2 15" xfId="298"/>
    <cellStyle name="Процентный 2 16" xfId="299"/>
    <cellStyle name="Процентный 2 2" xfId="300"/>
    <cellStyle name="Процентный 2 3" xfId="301"/>
    <cellStyle name="Процентный 2 4" xfId="302"/>
    <cellStyle name="Процентный 2 5" xfId="303"/>
    <cellStyle name="Процентный 2 6" xfId="304"/>
    <cellStyle name="Процентный 2 7" xfId="305"/>
    <cellStyle name="Процентный 2 8" xfId="306"/>
    <cellStyle name="Процентный 2 9" xfId="307"/>
    <cellStyle name="Процентный 3" xfId="308"/>
    <cellStyle name="Процентный 4" xfId="309"/>
    <cellStyle name="Процентный 4 2" xfId="310"/>
    <cellStyle name="Связанная ячейка 2" xfId="311"/>
    <cellStyle name="Связанная ячейка 3" xfId="312"/>
    <cellStyle name="Стиль 1" xfId="313"/>
    <cellStyle name="Стиль 1 2" xfId="314"/>
    <cellStyle name="Стиль 1 3" xfId="315"/>
    <cellStyle name="Стиль 1 4" xfId="316"/>
    <cellStyle name="Стиль 1 5" xfId="317"/>
    <cellStyle name="Стиль 1 6" xfId="318"/>
    <cellStyle name="Стиль 1 7" xfId="319"/>
    <cellStyle name="Текст предупреждения 2" xfId="320"/>
    <cellStyle name="Текст предупреждения 3" xfId="321"/>
    <cellStyle name="Тысячи [0]_1.62" xfId="322"/>
    <cellStyle name="Тысячи_1.62" xfId="323"/>
    <cellStyle name="Финансовый 2" xfId="324"/>
    <cellStyle name="Финансовый 2 10" xfId="325"/>
    <cellStyle name="Финансовый 2 11" xfId="326"/>
    <cellStyle name="Финансовый 2 12" xfId="327"/>
    <cellStyle name="Финансовый 2 13" xfId="328"/>
    <cellStyle name="Финансовый 2 14" xfId="329"/>
    <cellStyle name="Финансовый 2 15" xfId="330"/>
    <cellStyle name="Финансовый 2 16" xfId="331"/>
    <cellStyle name="Финансовый 2 17" xfId="332"/>
    <cellStyle name="Финансовый 2 2" xfId="333"/>
    <cellStyle name="Финансовый 2 3" xfId="334"/>
    <cellStyle name="Финансовый 2 4" xfId="335"/>
    <cellStyle name="Финансовый 2 5" xfId="336"/>
    <cellStyle name="Финансовый 2 6" xfId="337"/>
    <cellStyle name="Финансовый 2 7" xfId="338"/>
    <cellStyle name="Финансовый 2 8" xfId="339"/>
    <cellStyle name="Финансовый 2 9" xfId="340"/>
    <cellStyle name="Финансовый 3" xfId="341"/>
    <cellStyle name="Финансовый 3 2" xfId="342"/>
    <cellStyle name="Финансовый 4" xfId="343"/>
    <cellStyle name="Финансовый 4 2" xfId="344"/>
    <cellStyle name="Финансовый 4 3" xfId="345"/>
    <cellStyle name="Финансовый 5" xfId="346"/>
    <cellStyle name="Финансовый 6" xfId="347"/>
    <cellStyle name="Финансовый 7" xfId="348"/>
    <cellStyle name="Хороший 2" xfId="349"/>
    <cellStyle name="Хороший 3" xfId="350"/>
    <cellStyle name="числовой" xfId="351"/>
    <cellStyle name="Ю" xfId="352"/>
    <cellStyle name="Ю-FreeSet_10" xfId="353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26" Type="http://schemas.openxmlformats.org/officeDocument/2006/relationships/externalLink" Target="externalLinks/externalLink12.xml"/><Relationship Id="rId39" Type="http://schemas.openxmlformats.org/officeDocument/2006/relationships/externalLink" Target="externalLinks/externalLink25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7.xml"/><Relationship Id="rId34" Type="http://schemas.openxmlformats.org/officeDocument/2006/relationships/externalLink" Target="externalLinks/externalLink20.xml"/><Relationship Id="rId42" Type="http://schemas.openxmlformats.org/officeDocument/2006/relationships/externalLink" Target="externalLinks/externalLink28.xml"/><Relationship Id="rId47" Type="http://schemas.openxmlformats.org/officeDocument/2006/relationships/externalLink" Target="externalLinks/externalLink3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externalLink" Target="externalLinks/externalLink11.xml"/><Relationship Id="rId33" Type="http://schemas.openxmlformats.org/officeDocument/2006/relationships/externalLink" Target="externalLinks/externalLink19.xml"/><Relationship Id="rId38" Type="http://schemas.openxmlformats.org/officeDocument/2006/relationships/externalLink" Target="externalLinks/externalLink24.xml"/><Relationship Id="rId46" Type="http://schemas.openxmlformats.org/officeDocument/2006/relationships/externalLink" Target="externalLinks/externalLink3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externalLink" Target="externalLinks/externalLink6.xml"/><Relationship Id="rId29" Type="http://schemas.openxmlformats.org/officeDocument/2006/relationships/externalLink" Target="externalLinks/externalLink15.xml"/><Relationship Id="rId41" Type="http://schemas.openxmlformats.org/officeDocument/2006/relationships/externalLink" Target="externalLinks/externalLink2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0.xml"/><Relationship Id="rId32" Type="http://schemas.openxmlformats.org/officeDocument/2006/relationships/externalLink" Target="externalLinks/externalLink18.xml"/><Relationship Id="rId37" Type="http://schemas.openxmlformats.org/officeDocument/2006/relationships/externalLink" Target="externalLinks/externalLink23.xml"/><Relationship Id="rId40" Type="http://schemas.openxmlformats.org/officeDocument/2006/relationships/externalLink" Target="externalLinks/externalLink26.xml"/><Relationship Id="rId45" Type="http://schemas.openxmlformats.org/officeDocument/2006/relationships/externalLink" Target="externalLinks/externalLink3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externalLink" Target="externalLinks/externalLink9.xml"/><Relationship Id="rId28" Type="http://schemas.openxmlformats.org/officeDocument/2006/relationships/externalLink" Target="externalLinks/externalLink14.xml"/><Relationship Id="rId36" Type="http://schemas.openxmlformats.org/officeDocument/2006/relationships/externalLink" Target="externalLinks/externalLink22.xml"/><Relationship Id="rId49" Type="http://schemas.openxmlformats.org/officeDocument/2006/relationships/externalLink" Target="externalLinks/externalLink3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31" Type="http://schemas.openxmlformats.org/officeDocument/2006/relationships/externalLink" Target="externalLinks/externalLink17.xml"/><Relationship Id="rId44" Type="http://schemas.openxmlformats.org/officeDocument/2006/relationships/externalLink" Target="externalLinks/externalLink3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8.xml"/><Relationship Id="rId27" Type="http://schemas.openxmlformats.org/officeDocument/2006/relationships/externalLink" Target="externalLinks/externalLink13.xml"/><Relationship Id="rId30" Type="http://schemas.openxmlformats.org/officeDocument/2006/relationships/externalLink" Target="externalLinks/externalLink16.xml"/><Relationship Id="rId35" Type="http://schemas.openxmlformats.org/officeDocument/2006/relationships/externalLink" Target="externalLinks/externalLink21.xml"/><Relationship Id="rId43" Type="http://schemas.openxmlformats.org/officeDocument/2006/relationships/externalLink" Target="externalLinks/externalLink29.xml"/><Relationship Id="rId48" Type="http://schemas.openxmlformats.org/officeDocument/2006/relationships/externalLink" Target="externalLinks/externalLink34.xml"/><Relationship Id="rId8" Type="http://schemas.openxmlformats.org/officeDocument/2006/relationships/worksheet" Target="worksheets/sheet8.xml"/><Relationship Id="rId51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WORK/S2/VICTOR/&#1042;&#1042;&#1055;/PI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riadna\Sum_pok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New_monitoring/Monit_xls/M_2002/M_06_02/Monthly/10_October/1Aug2001/GDP/realgdp/LENA/BGVN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_________________________Plan_ZP\!_&#1055;&#1077;&#1095;&#1072;&#1090;&#1100;\&#1052;&#1058;&#1056;%20&#1074;&#1089;&#1077;%20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Plan\Exchange\_________________________Plan_ZP\!_&#1055;&#1077;&#1095;&#1072;&#1090;&#1100;\&#1052;&#1058;&#1056;%20&#1074;&#1089;&#1077;%20-%20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OCUME~1\VOYTOV~1\LOCALS~1\Temp\Rar$DI00.867\Planning%20System%20Project\consolidation%20hq%20formatted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SUDNIKOVA\Local%20Settings\Temporary%20Internet%20Files\Content.IE5\C5MFSXEF\Subv2006\Rich%20Roz%202006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S_N_A/1July2001/GDP/realgdp/LENA/BGVN1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\File1\aaaa\2007%20finplan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SINKEV~1\LOCALS~1\Temp\Rar$DI00.781\Dept\FinPlan-Economy\Planning%20System%20Project\consolidation%20hq%20formatted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OCUME~1\VOYTOV~1\LOCALS~1\Temp\Rar$DI00.867\Planning%20System%20Project\consolidation%20hq%20formatted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ept\FinPlan-Economy\Planning%20System%20Project\consolidation%20hq%20formatted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ept\FinPlan-Economy\Planning%20System%20Project\consolidation%20hq%20formatted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likhachov\Local%20Settings\Temporary%20Internet%20Files\Content.IE5\RY4RBH0P\2006_REALIZ_&#1058;&#1045;(&#1083;&#1102;&#1090;&#1080;&#1081;20%25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FinPlan-Economy\Planning%20System%20Project\consolidation%20hq%20formatte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FinPlan-Economy\Planning%20System%20Project\consolidation%20hq%20formatted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OCUME~1\VOYTOV~1\LOCALS~1\Temp\Rar$DI00.867\Planning%20System%20Project\consolidation%20hq%20formatte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ept\Plan\Exchange\!_Plan-2006\VAT%20Sevastop\Dept\Plan\Exchange\_________________________Plan_ZP\!_&#1055;&#1077;&#1095;&#1072;&#1090;&#1100;\&#1052;&#1058;&#1056;%20&#1074;&#1089;&#1077;%2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"/>
      <sheetName val="Real GDP &amp; Real IP (u)"/>
      <sheetName val="Real GDP &amp; Real IP (e)"/>
      <sheetName val="GDP_gr"/>
      <sheetName val="Светлые"/>
      <sheetName val="адмін (2)"/>
      <sheetName val="Лист 1"/>
      <sheetName val="Real_GDP_&amp;_Real_IP_(u)"/>
      <sheetName val="Real_GDP_&amp;_Real_IP_(e)"/>
      <sheetName val="Лист2"/>
      <sheetName val="ПЛАН ЗАКУПІВЕЛЬ 2018"/>
      <sheetName val="Аркуш2"/>
      <sheetName val="MPPZ"/>
      <sheetName val="адмін_(2)"/>
      <sheetName val="9m"/>
      <sheetName val="Лист3"/>
      <sheetName val="TDSheet"/>
      <sheetName val="Довідник"/>
      <sheetName val="Real_GDP_&amp;_Real_IP_(u)1"/>
      <sheetName val="Real_GDP_&amp;_Real_IP_(e)1"/>
      <sheetName val="адмін_(2)1"/>
      <sheetName val="ПЛАН_ЗАКУПІВЕЛЬ_2018"/>
      <sheetName val="список"/>
      <sheetName val="список (2)"/>
      <sheetName val="список (6)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/>
      <sheetData sheetId="11" refreshError="1"/>
      <sheetData sheetId="12" refreshError="1"/>
      <sheetData sheetId="13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  <sheetName val="МТР Газ України"/>
      <sheetName val="зведена_таб"/>
      <sheetName val="попер_роз_(4)"/>
      <sheetName val="звед_оптим_(2)"/>
      <sheetName val="2002"/>
      <sheetName val="2001"/>
      <sheetName val="Ener "/>
      <sheetName val="МТР_Газ_України"/>
      <sheetName val="Current"/>
      <sheetName val="прим. IX. Деб. заб."/>
      <sheetName val="Test"/>
      <sheetName val="statiy"/>
      <sheetName val="pidr"/>
      <sheetName val="Technic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 refreshError="1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7  інші витрати"/>
      <sheetName val="попер_роз"/>
      <sheetName val="база  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gd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попер_роз"/>
      <sheetName val="Inform"/>
      <sheetName val="L4"/>
      <sheetName val="L10"/>
      <sheetName val="KOEF"/>
      <sheetName val="База"/>
      <sheetName val="7  Інші витрати"/>
      <sheetName val="ОСВ МСФЗ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Inform"/>
      <sheetName val="Правила ДДС"/>
      <sheetName val="_ф3"/>
      <sheetName val="_Ф4"/>
      <sheetName val="_Ф5"/>
      <sheetName val="Ф7_цены"/>
      <sheetName val="Ф8_цены"/>
      <sheetName val="7  інші витрати"/>
      <sheetName val="база  "/>
      <sheetName val="Links"/>
      <sheetName val="Lead"/>
      <sheetName val="МТР_Газ_України"/>
      <sheetName val="МТР_все_2"/>
      <sheetName val="P_SC"/>
      <sheetName val="XLR_NoRangeSheet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база  "/>
      <sheetName val="Лист1"/>
      <sheetName val="МТР все - 5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1993"/>
      <sheetName val="cj"/>
      <sheetName val="7  інші витрат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Inform"/>
      <sheetName val="база  "/>
      <sheetName val="МТР_Газ_України"/>
      <sheetName val="Допущения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попер_роз"/>
      <sheetName val="Лист1"/>
      <sheetName val="МТР все 2"/>
      <sheetName val="Inform"/>
      <sheetName val="7  Інші витрати"/>
      <sheetName val="МТР_Газ_України"/>
      <sheetName val="Assumptions and Input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GDP"/>
      <sheetName val="BGVN1"/>
      <sheetName val="Technical"/>
      <sheetName val="БАЗА  "/>
      <sheetName val="МТР Газ України"/>
      <sheetName val="Daten"/>
      <sheetName val="Detail"/>
      <sheetName val="Annual Tables"/>
      <sheetName val="Index"/>
      <sheetName val="Annual Raw Data"/>
      <sheetName val="Quarterly Raw Data"/>
      <sheetName val="Quarterly MacroFlow"/>
      <sheetName val="unadjbs"/>
      <sheetName val="Inventories"/>
      <sheetName val="Inform"/>
      <sheetName val="Довідник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Maintenance"/>
      <sheetName val="Лист1"/>
      <sheetName val="МТР все 2"/>
      <sheetName val="2002"/>
      <sheetName val="20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Ф2"/>
      <sheetName val="Inform"/>
      <sheetName val="Ini"/>
      <sheetName val="Setup"/>
      <sheetName val="200"/>
      <sheetName val="1993"/>
      <sheetName val="Ener 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МТР все - 5"/>
      <sheetName val="Лист1"/>
      <sheetName val="Internal Data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/>
      <sheetData sheetId="34"/>
      <sheetData sheetId="35" refreshError="1"/>
      <sheetData sheetId="3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Inform"/>
      <sheetName val="база  "/>
      <sheetName val="gdp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7  інші витрати"/>
      <sheetName val="МТР Газ України"/>
      <sheetName val="база  "/>
      <sheetName val="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попер_роз"/>
      <sheetName val="Inform"/>
      <sheetName val="база  "/>
      <sheetName val="МТР_Газ_України"/>
      <sheetName val="assumptions and inputs"/>
      <sheetName val="Cash Flows"/>
      <sheetName val="Terminal Value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  <sheetName val="МТР Газ України"/>
      <sheetName val="7  інші витрати"/>
      <sheetName val="Inform"/>
      <sheetName val="попер_роз"/>
      <sheetName val="Dod_ARK"/>
      <sheetName val="Dod_Clavutich"/>
      <sheetName val="Svod_3511060"/>
      <sheetName val="Diti_"/>
      <sheetName val="Ener_"/>
      <sheetName val="IncsiPilgi_(2)"/>
      <sheetName val="Govti_Vodi"/>
      <sheetName val="Chor_Flot"/>
      <sheetName val="Shidka_Dop"/>
      <sheetName val="Zoiot_Pidkova"/>
      <sheetName val="Oper_Teatr"/>
      <sheetName val="Ctix_Lixo_IvFrank"/>
      <sheetName val="Groshi_xodat_za_dit"/>
      <sheetName val="Ctix_Lixo_Zakarp"/>
      <sheetName val="Coc_GKG_Inv"/>
      <sheetName val="Ictor_Zabudova"/>
      <sheetName val="Ict_Zab"/>
      <sheetName val="Ukr_Kultura"/>
      <sheetName val="Mic_Arcenal"/>
      <sheetName val="diti_ciroti_-2(minmolod)"/>
      <sheetName val="Korek_ocvita"/>
      <sheetName val="Tex_Dic_Ocvita"/>
      <sheetName val="Utoc_Zaoshadg"/>
      <sheetName val="Metro_Cpec_Fond"/>
      <sheetName val="Svitov_Bank"/>
      <sheetName val="Shidka_Dop_Cp_Fond"/>
      <sheetName val="Troleib_Cpec_Fond"/>
      <sheetName val="Pereviz_ditey"/>
      <sheetName val="Kom_dorigu"/>
      <sheetName val="Chor_Fiot_Cpec_Fond"/>
      <sheetName val="Nar_inst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">
          <cell r="A2" t="str">
            <v>Обсяг помісячного надходження субвенції з державного бюджету до місцевих бюджетів на надання пільг  та житлових субсидій населенню на оплату електроенергії, природного газу, послуг тепло-, водопостачання і водовідведення, квартирної плати, вивезення побут</v>
          </cell>
        </row>
        <row r="5">
          <cell r="A5" t="str">
            <v>Код бюджету</v>
          </cell>
          <cell r="B5" t="str">
            <v>Назва адміністративно-територіальної одиниці</v>
          </cell>
          <cell r="C5" t="str">
            <v>січень</v>
          </cell>
          <cell r="D5" t="str">
            <v>лютий</v>
          </cell>
          <cell r="E5" t="str">
            <v>березень</v>
          </cell>
          <cell r="F5" t="str">
            <v>квітень</v>
          </cell>
          <cell r="G5" t="str">
            <v>травень</v>
          </cell>
        </row>
        <row r="6">
          <cell r="A6" t="str">
            <v>О1100000000</v>
          </cell>
          <cell r="B6" t="str">
            <v>бюджет Автономної Республіки Крим</v>
          </cell>
          <cell r="C6">
            <v>2463.5419999999999</v>
          </cell>
          <cell r="D6">
            <v>5004.6750000000002</v>
          </cell>
          <cell r="E6">
            <v>4874.01</v>
          </cell>
          <cell r="F6">
            <v>6713.2</v>
          </cell>
          <cell r="G6">
            <v>5483.6</v>
          </cell>
        </row>
        <row r="7">
          <cell r="A7" t="str">
            <v>О2100000000</v>
          </cell>
          <cell r="B7" t="str">
            <v>обласний бюджет Вiнницької області</v>
          </cell>
          <cell r="C7">
            <v>5585.9549999999999</v>
          </cell>
          <cell r="D7">
            <v>5130.4480000000003</v>
          </cell>
          <cell r="E7">
            <v>5614.5339999999997</v>
          </cell>
          <cell r="F7">
            <v>7821.4</v>
          </cell>
          <cell r="G7">
            <v>4676.6000000000004</v>
          </cell>
        </row>
        <row r="8">
          <cell r="A8" t="str">
            <v>О3100000000</v>
          </cell>
          <cell r="B8" t="str">
            <v>обласний бюджет Волинської області</v>
          </cell>
          <cell r="C8">
            <v>3419.413</v>
          </cell>
          <cell r="D8">
            <v>4547.1629999999996</v>
          </cell>
          <cell r="E8">
            <v>4267.8410000000003</v>
          </cell>
          <cell r="F8">
            <v>5180.2</v>
          </cell>
          <cell r="G8">
            <v>3258.4</v>
          </cell>
        </row>
        <row r="9">
          <cell r="A9" t="str">
            <v>О4100000000</v>
          </cell>
          <cell r="B9" t="str">
            <v>обласний бюджет Днiпропетровської області</v>
          </cell>
          <cell r="C9">
            <v>8288.7270000000008</v>
          </cell>
          <cell r="D9">
            <v>20991.351999999999</v>
          </cell>
          <cell r="E9">
            <v>16903.654999999999</v>
          </cell>
          <cell r="F9">
            <v>23535.787</v>
          </cell>
          <cell r="G9">
            <v>12935.2</v>
          </cell>
        </row>
        <row r="10">
          <cell r="A10" t="str">
            <v>О5100000000</v>
          </cell>
          <cell r="B10" t="str">
            <v>обласний бюджет Донецької області</v>
          </cell>
          <cell r="C10">
            <v>11729.522000000001</v>
          </cell>
          <cell r="D10">
            <v>19530.755000000001</v>
          </cell>
          <cell r="E10">
            <v>19355.436000000002</v>
          </cell>
          <cell r="F10">
            <v>26008.7</v>
          </cell>
          <cell r="G10">
            <v>15778.6</v>
          </cell>
        </row>
        <row r="11">
          <cell r="A11" t="str">
            <v>О6100000000</v>
          </cell>
          <cell r="B11" t="str">
            <v>обласний бюджет Житомирської області</v>
          </cell>
          <cell r="C11">
            <v>3202.2750000000001</v>
          </cell>
          <cell r="D11">
            <v>6561.0010000000002</v>
          </cell>
          <cell r="E11">
            <v>5316.2150000000001</v>
          </cell>
          <cell r="F11">
            <v>7407.8</v>
          </cell>
          <cell r="G11">
            <v>4605.7</v>
          </cell>
        </row>
        <row r="12">
          <cell r="A12" t="str">
            <v>О7100000000</v>
          </cell>
          <cell r="B12" t="str">
            <v>обласний бюджет Закарпатської області</v>
          </cell>
          <cell r="C12">
            <v>1513.9649999999999</v>
          </cell>
          <cell r="D12">
            <v>1806.577</v>
          </cell>
          <cell r="E12">
            <v>4712.2439999999997</v>
          </cell>
          <cell r="F12">
            <v>4277.8</v>
          </cell>
          <cell r="G12">
            <v>1586.9</v>
          </cell>
        </row>
        <row r="13">
          <cell r="A13" t="str">
            <v>О8100000000</v>
          </cell>
          <cell r="B13" t="str">
            <v>обласний бюджет Запорiзької області</v>
          </cell>
          <cell r="C13">
            <v>3867.2069999999999</v>
          </cell>
          <cell r="D13">
            <v>7903.7089999999998</v>
          </cell>
          <cell r="E13">
            <v>7399.4160000000002</v>
          </cell>
          <cell r="F13">
            <v>9874.5</v>
          </cell>
          <cell r="G13">
            <v>7155.4</v>
          </cell>
        </row>
        <row r="14">
          <cell r="A14" t="str">
            <v>О9100000000</v>
          </cell>
          <cell r="B14" t="str">
            <v>обласний бюджет Iвано-Франкiвської області</v>
          </cell>
          <cell r="C14">
            <v>3578.223</v>
          </cell>
          <cell r="D14">
            <v>5867.2309999999998</v>
          </cell>
          <cell r="E14">
            <v>6297.893</v>
          </cell>
          <cell r="F14">
            <v>9563.7000000000007</v>
          </cell>
          <cell r="G14">
            <v>3616.2</v>
          </cell>
        </row>
        <row r="15">
          <cell r="A15">
            <v>10100000000</v>
          </cell>
          <cell r="B15" t="str">
            <v>обласний бюджет Київської області</v>
          </cell>
          <cell r="C15">
            <v>10302.385</v>
          </cell>
          <cell r="D15">
            <v>16146.352999999999</v>
          </cell>
          <cell r="E15">
            <v>13833.255999999999</v>
          </cell>
          <cell r="F15">
            <v>18290.400000000001</v>
          </cell>
          <cell r="G15">
            <v>7404.9</v>
          </cell>
        </row>
        <row r="16">
          <cell r="A16">
            <v>11100000000</v>
          </cell>
          <cell r="B16" t="str">
            <v>обласний бюджет Кiровоградської області</v>
          </cell>
          <cell r="C16">
            <v>3580.96</v>
          </cell>
          <cell r="D16">
            <v>4993.7330000000002</v>
          </cell>
          <cell r="E16">
            <v>3976.05</v>
          </cell>
          <cell r="F16">
            <v>7419.8</v>
          </cell>
          <cell r="G16">
            <v>5284.3</v>
          </cell>
        </row>
        <row r="17">
          <cell r="A17">
            <v>12100000000</v>
          </cell>
          <cell r="B17" t="str">
            <v>обласний бюджет Луганської області</v>
          </cell>
          <cell r="C17">
            <v>2843.239</v>
          </cell>
          <cell r="D17">
            <v>8978.6</v>
          </cell>
          <cell r="E17">
            <v>6927.87</v>
          </cell>
          <cell r="F17">
            <v>9087.1</v>
          </cell>
          <cell r="G17">
            <v>6148.4</v>
          </cell>
        </row>
        <row r="18">
          <cell r="A18">
            <v>13100000000</v>
          </cell>
          <cell r="B18" t="str">
            <v>обласний бюджет Львiвської області</v>
          </cell>
          <cell r="C18">
            <v>13665.8</v>
          </cell>
          <cell r="D18">
            <v>12546.388000000001</v>
          </cell>
          <cell r="E18">
            <v>13924.588</v>
          </cell>
          <cell r="F18">
            <v>16320</v>
          </cell>
          <cell r="G18">
            <v>5542.7</v>
          </cell>
        </row>
        <row r="19">
          <cell r="A19">
            <v>14100000000</v>
          </cell>
          <cell r="B19" t="str">
            <v>обласний бюджет Миколаївської області</v>
          </cell>
          <cell r="C19">
            <v>1582.5519999999999</v>
          </cell>
          <cell r="D19">
            <v>4228.6229999999996</v>
          </cell>
          <cell r="E19">
            <v>4112.8190000000004</v>
          </cell>
          <cell r="F19">
            <v>5079.6000000000004</v>
          </cell>
          <cell r="G19">
            <v>4261.3</v>
          </cell>
        </row>
        <row r="20">
          <cell r="A20">
            <v>15100000000</v>
          </cell>
          <cell r="B20" t="str">
            <v>обласний бюджет Одеської області</v>
          </cell>
          <cell r="C20">
            <v>3570.1010000000001</v>
          </cell>
          <cell r="D20">
            <v>8569.5969999999998</v>
          </cell>
          <cell r="E20">
            <v>7127.8249999999998</v>
          </cell>
          <cell r="F20">
            <v>11636.5</v>
          </cell>
          <cell r="G20">
            <v>10163.4</v>
          </cell>
        </row>
        <row r="21">
          <cell r="A21">
            <v>16100000000</v>
          </cell>
          <cell r="B21" t="str">
            <v>обласний бюджет Полтавської області</v>
          </cell>
          <cell r="C21">
            <v>5666.1139999999996</v>
          </cell>
          <cell r="D21">
            <v>6422.4319999999998</v>
          </cell>
          <cell r="E21">
            <v>7489.7539999999999</v>
          </cell>
          <cell r="F21">
            <v>15258.1</v>
          </cell>
          <cell r="G21">
            <v>5827</v>
          </cell>
        </row>
        <row r="22">
          <cell r="A22">
            <v>17100000000</v>
          </cell>
          <cell r="B22" t="str">
            <v>обласний бюджет Рiвненської області</v>
          </cell>
          <cell r="C22">
            <v>1969.902</v>
          </cell>
          <cell r="D22">
            <v>3336.444</v>
          </cell>
          <cell r="E22">
            <v>5380.4470000000001</v>
          </cell>
          <cell r="F22">
            <v>5543.9</v>
          </cell>
          <cell r="G22">
            <v>2982.7</v>
          </cell>
        </row>
        <row r="23">
          <cell r="A23">
            <v>18100000000</v>
          </cell>
          <cell r="B23" t="str">
            <v>обласний бюджет Сумської області</v>
          </cell>
          <cell r="C23">
            <v>4169.5280000000002</v>
          </cell>
          <cell r="D23">
            <v>3622.9929999999999</v>
          </cell>
          <cell r="E23">
            <v>7895.424</v>
          </cell>
          <cell r="F23">
            <v>8377.1</v>
          </cell>
          <cell r="G23">
            <v>4032.7</v>
          </cell>
        </row>
        <row r="24">
          <cell r="A24">
            <v>19100000000</v>
          </cell>
          <cell r="B24" t="str">
            <v>обласний бюджет Тернопiльської області</v>
          </cell>
          <cell r="C24">
            <v>3701.9160000000002</v>
          </cell>
          <cell r="D24">
            <v>4896.8559999999998</v>
          </cell>
          <cell r="E24">
            <v>5147.2650000000003</v>
          </cell>
          <cell r="F24">
            <v>6839.9</v>
          </cell>
          <cell r="G24">
            <v>1830.2</v>
          </cell>
        </row>
        <row r="25">
          <cell r="A25">
            <v>20100000000</v>
          </cell>
          <cell r="B25" t="str">
            <v>обласний бюджет Харкiвської області</v>
          </cell>
          <cell r="C25">
            <v>8386.9330000000009</v>
          </cell>
          <cell r="D25">
            <v>11698.075000000001</v>
          </cell>
          <cell r="E25">
            <v>14592.047</v>
          </cell>
          <cell r="F25">
            <v>27208.2</v>
          </cell>
          <cell r="G25">
            <v>13691.3</v>
          </cell>
        </row>
        <row r="26">
          <cell r="A26">
            <v>21100000000</v>
          </cell>
          <cell r="B26" t="str">
            <v>обласний бюджет Херсонської області</v>
          </cell>
          <cell r="C26">
            <v>2200.9679999999998</v>
          </cell>
          <cell r="D26">
            <v>3252.5390000000002</v>
          </cell>
          <cell r="E26">
            <v>3255.58</v>
          </cell>
          <cell r="F26">
            <v>5299.7</v>
          </cell>
          <cell r="G26">
            <v>3272.2</v>
          </cell>
        </row>
        <row r="27">
          <cell r="A27">
            <v>22100000000</v>
          </cell>
          <cell r="B27" t="str">
            <v>обласний бюджет Хмельницької області</v>
          </cell>
          <cell r="C27">
            <v>4049.5320000000002</v>
          </cell>
          <cell r="D27">
            <v>6627.4</v>
          </cell>
          <cell r="E27">
            <v>4533.01</v>
          </cell>
          <cell r="F27">
            <v>8290.9</v>
          </cell>
          <cell r="G27">
            <v>5960.3</v>
          </cell>
        </row>
        <row r="28">
          <cell r="A28">
            <v>23100000000</v>
          </cell>
          <cell r="B28" t="str">
            <v>обласний бюджет Черкаської області</v>
          </cell>
          <cell r="C28">
            <v>5316.2910000000002</v>
          </cell>
          <cell r="D28">
            <v>6217.3370000000004</v>
          </cell>
          <cell r="E28">
            <v>6195.89</v>
          </cell>
          <cell r="F28">
            <v>10165</v>
          </cell>
          <cell r="G28">
            <v>4770.5</v>
          </cell>
        </row>
        <row r="29">
          <cell r="A29">
            <v>24100000000</v>
          </cell>
          <cell r="B29" t="str">
            <v>обласний бюджет Чернiвецької області</v>
          </cell>
          <cell r="C29">
            <v>1761.75</v>
          </cell>
          <cell r="D29">
            <v>2010.7829999999999</v>
          </cell>
          <cell r="E29">
            <v>1999.8030000000001</v>
          </cell>
          <cell r="F29">
            <v>3410.4</v>
          </cell>
          <cell r="G29">
            <v>2092.5</v>
          </cell>
        </row>
        <row r="30">
          <cell r="A30">
            <v>25100000000</v>
          </cell>
          <cell r="B30" t="str">
            <v>обласний бюджет Чернiгiвецької області</v>
          </cell>
          <cell r="C30">
            <v>4501.0339999999997</v>
          </cell>
          <cell r="D30">
            <v>5828.5460000000003</v>
          </cell>
          <cell r="E30">
            <v>5312.768</v>
          </cell>
          <cell r="F30">
            <v>8541</v>
          </cell>
          <cell r="G30">
            <v>4831.6000000000004</v>
          </cell>
        </row>
        <row r="31">
          <cell r="A31">
            <v>26000000000</v>
          </cell>
          <cell r="B31" t="str">
            <v>м.Київ</v>
          </cell>
          <cell r="C31">
            <v>4478.4290000000001</v>
          </cell>
          <cell r="D31">
            <v>7686.2479999999996</v>
          </cell>
          <cell r="E31">
            <v>8581.6080000000002</v>
          </cell>
          <cell r="F31">
            <v>12592.5</v>
          </cell>
          <cell r="G31">
            <v>10211.1</v>
          </cell>
        </row>
        <row r="32">
          <cell r="A32">
            <v>27000000000</v>
          </cell>
          <cell r="B32" t="str">
            <v>м.Севастополь</v>
          </cell>
          <cell r="C32">
            <v>656.43700000000001</v>
          </cell>
          <cell r="D32">
            <v>1870.8869999999999</v>
          </cell>
          <cell r="E32">
            <v>1073.652</v>
          </cell>
          <cell r="F32">
            <v>1527.6130000000001</v>
          </cell>
          <cell r="G32">
            <v>1254.8</v>
          </cell>
        </row>
        <row r="33">
          <cell r="B33" t="str">
            <v xml:space="preserve">Всього </v>
          </cell>
          <cell r="C33">
            <v>126052.70000000001</v>
          </cell>
          <cell r="D33">
            <v>196276.74499999997</v>
          </cell>
          <cell r="E33">
            <v>196100.90000000005</v>
          </cell>
          <cell r="F33">
            <v>281270.80000000005</v>
          </cell>
          <cell r="G33">
            <v>158658.49999999997</v>
          </cell>
        </row>
        <row r="38">
          <cell r="C38">
            <v>126052.7</v>
          </cell>
          <cell r="D38">
            <v>196276.74499999997</v>
          </cell>
          <cell r="E38">
            <v>196100.9</v>
          </cell>
          <cell r="F38">
            <v>281270.8</v>
          </cell>
          <cell r="G38">
            <v>158658.5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Ener "/>
      <sheetName val="Лист1"/>
      <sheetName val="ТРП"/>
      <sheetName val="МТР все 2"/>
      <sheetName val="МТР_Газ_України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Inform"/>
      <sheetName val="812"/>
      <sheetName val="Ф2"/>
      <sheetName val="gdp"/>
      <sheetName val="1993"/>
      <sheetName val="Додаток 3"/>
      <sheetName val="Ener_"/>
      <sheetName val="Бюдж. баланс "/>
      <sheetName val="параметри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 refreshError="1"/>
      <sheetData sheetId="27" refreshError="1"/>
      <sheetData sheetId="28"/>
      <sheetData sheetId="29"/>
      <sheetData sheetId="30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  <sheetName val="МТР Газ України"/>
      <sheetName val="БАЗА__"/>
      <sheetName val="БАЗА___(2)"/>
      <sheetName val="БАЗА___(3)"/>
      <sheetName val="БАЗА___(5)"/>
      <sheetName val="БАЗА___(4)"/>
      <sheetName val="Ener "/>
      <sheetName val="Припущення"/>
      <sheetName val="МТР_Газ_України"/>
      <sheetName val="Осн. фін. пок. 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/>
      <sheetData sheetId="22" refreshError="1"/>
      <sheetData sheetId="23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МТР Газ України"/>
      <sheetName val="Inform"/>
      <sheetName val="7  інші витрати"/>
      <sheetName val="БАЗА  "/>
      <sheetName val="BGVN1"/>
      <sheetName val="д17-1"/>
      <sheetName val="БАЗА__"/>
      <sheetName val="Лист1"/>
      <sheetName val="півріч"/>
      <sheetName val="КурсВалют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Inform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Ener "/>
      <sheetName val="f-20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gdp"/>
      <sheetName val="1993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Setup"/>
      <sheetName val="2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Правила ДДС"/>
      <sheetName val="7  інші витрати"/>
      <sheetName val="п"/>
      <sheetName val="1993"/>
      <sheetName val="Assumptions and Inputs"/>
      <sheetName val="Лист1"/>
      <sheetName val="consolidation hq formatted"/>
    </sheetNames>
    <sheetDataSet>
      <sheetData sheetId="0" refreshError="1"/>
      <sheetData sheetId="1" refreshError="1">
        <row r="2">
          <cell r="F2" t="str">
            <v>Компания "Мама"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1"/>
      <sheetName val="consolidation hq formatted"/>
      <sheetName val="7  Інші витрати"/>
      <sheetName val="попер_роз"/>
      <sheetName val="скрыть"/>
    </sheetNames>
    <sheetDataSet>
      <sheetData sheetId="0" refreshError="1"/>
      <sheetData sheetId="1" refreshError="1">
        <row r="6">
          <cell r="E6" t="str">
            <v>31 декабря 2005 года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Ener "/>
      <sheetName val="Технич лист"/>
      <sheetName val="gdp"/>
      <sheetName val="до викупа"/>
      <sheetName val="Лист1"/>
      <sheetName val="банк"/>
      <sheetName val="дез"/>
      <sheetName val="связь"/>
      <sheetName val="компод"/>
      <sheetName val="пож"/>
      <sheetName val="проезд"/>
      <sheetName val="страх"/>
      <sheetName val="Розш. ел. витрат за 9 місяців"/>
      <sheetName val="Рокада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МТР Газ України"/>
      <sheetName val="реестр заявок"/>
      <sheetName val="ЗКЛ"/>
      <sheetName val="реестр_заявок"/>
      <sheetName val="Лист1"/>
      <sheetName val="Рабоч"/>
      <sheetName val="7  Інші витрати"/>
      <sheetName val="1993"/>
      <sheetName val="Ener "/>
      <sheetName val="додаток 1"/>
      <sheetName val="база  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  <sheetName val="Рабоч"/>
      <sheetName val="11)423+424"/>
      <sheetName val="Chart_of_accs"/>
      <sheetName val="Лист1"/>
      <sheetName val="База"/>
      <sheetName val="база  "/>
      <sheetName val="банк"/>
      <sheetName val="дез"/>
      <sheetName val="связь"/>
      <sheetName val="компод"/>
      <sheetName val="пож"/>
      <sheetName val="проезд"/>
      <sheetName val="страх"/>
      <sheetName val="7  інші витрати"/>
      <sheetName val="МТР Газ України"/>
      <sheetName val="Note2 to do "/>
      <sheetName val="4сд"/>
      <sheetName val="2сд"/>
      <sheetName val="7сд"/>
      <sheetName val="1993"/>
      <sheetName val="Лист2"/>
      <sheetName val="припущення"/>
      <sheetName val="т17мб(шаблон)"/>
      <sheetName val="реестр_заявок1"/>
      <sheetName val="Set"/>
      <sheetName val="додаток  3"/>
      <sheetName val="mt bk"/>
      <sheetName val="Ener "/>
      <sheetName val="рэс п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  <sheetName val="Inform"/>
      <sheetName val="БАЗА__"/>
      <sheetName val="БАЗА___(2)"/>
      <sheetName val="БАЗА___(3)"/>
      <sheetName val="БАЗА___(4)"/>
      <sheetName val="БАЗА___(5)"/>
      <sheetName val="БАЗА___(6)"/>
      <sheetName val="БАЗА___(7)"/>
      <sheetName val="БАЗА___(8)"/>
      <sheetName val="БАЗА___(9)"/>
      <sheetName val="БАЗА___(10)"/>
      <sheetName val="БАЗА___(12)"/>
      <sheetName val="БАЗА___(11)"/>
      <sheetName val="БАЗА___(13)"/>
      <sheetName val="БАЗА___(14)"/>
      <sheetName val="параметри"/>
      <sheetName val="Припущенн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1993"/>
      <sheetName val="gdp"/>
      <sheetName val="Inform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1993"/>
      <sheetName val="7  інші витрати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БАЗА  "/>
      <sheetName val="до викупа"/>
      <sheetName val="Note2 to do "/>
      <sheetName val="4сд"/>
      <sheetName val="2сд"/>
      <sheetName val="7сд"/>
      <sheetName val="Лист2"/>
      <sheetName val="припущення"/>
      <sheetName val="МТР_Газ_України"/>
      <sheetName val="gdp"/>
      <sheetName val="Setup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 refreshError="1"/>
      <sheetData sheetId="4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2"/>
      <sheetName val="1993"/>
      <sheetName val="7  інші витрати"/>
      <sheetName val="Ener "/>
      <sheetName val="gdp"/>
      <sheetName val="assumptions"/>
    </sheetNames>
    <sheetDataSet>
      <sheetData sheetId="0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_Структура по елементах"/>
      <sheetName val="Д3"/>
      <sheetName val="МТР Газ України"/>
      <sheetName val="рік"/>
      <sheetName val="1993"/>
      <sheetName val="7  інші витрати"/>
      <sheetName val="gdp"/>
      <sheetName val="Assumptions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 refreshError="1"/>
      <sheetData sheetId="32" refreshError="1"/>
      <sheetData sheetId="3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gdp"/>
      <sheetName val="7  інші витрати"/>
      <sheetName val="1993"/>
      <sheetName val="comp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Inform"/>
      <sheetName val="1993"/>
      <sheetName val="7  інші витрати"/>
      <sheetName val="Current"/>
      <sheetName val="Лист1"/>
      <sheetName val="МТР все 2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TB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Ener "/>
      <sheetName val="МТР_Газ_України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1_Структура по елементах"/>
      <sheetName val="Тит стор"/>
      <sheetName val="Sheet1"/>
      <sheetName val="Cons_FS"/>
      <sheetName val="General"/>
      <sheetName val="SC_Lists"/>
      <sheetName val="Scenarios"/>
      <sheetName val="Gas_SSO"/>
      <sheetName val="Gas_TSO"/>
      <sheetName val="UGV_Gas"/>
      <sheetName val="Strategic Options"/>
      <sheetName val="Мульт-ор М2, швидкість"/>
      <sheetName val="Тариф на транзит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I109"/>
  <sheetViews>
    <sheetView zoomScale="60" zoomScaleNormal="60" workbookViewId="0">
      <selection sqref="A1:XFD1048576"/>
    </sheetView>
  </sheetViews>
  <sheetFormatPr defaultColWidth="8.88671875" defaultRowHeight="13.2"/>
  <cols>
    <col min="1" max="1" width="8.88671875" style="36"/>
    <col min="2" max="2" width="38" style="36" customWidth="1"/>
    <col min="3" max="3" width="21.44140625" style="36" customWidth="1"/>
    <col min="4" max="4" width="18" style="36" customWidth="1"/>
    <col min="5" max="5" width="17.109375" style="36" customWidth="1"/>
    <col min="6" max="6" width="15.44140625" style="36" customWidth="1"/>
    <col min="7" max="7" width="16.6640625" style="36" customWidth="1"/>
    <col min="8" max="8" width="15.5546875" style="36" customWidth="1"/>
    <col min="9" max="9" width="17.109375" style="36" customWidth="1"/>
    <col min="10" max="16384" width="8.88671875" style="36"/>
  </cols>
  <sheetData>
    <row r="4" spans="2:9" ht="16.8">
      <c r="I4" s="207" t="s">
        <v>339</v>
      </c>
    </row>
    <row r="5" spans="2:9" ht="17.399999999999999" thickBot="1">
      <c r="B5" s="369" t="s">
        <v>653</v>
      </c>
      <c r="C5" s="369"/>
      <c r="D5" s="369"/>
      <c r="E5" s="369"/>
      <c r="F5" s="369"/>
      <c r="G5" s="369"/>
      <c r="H5" s="369"/>
      <c r="I5" s="369"/>
    </row>
    <row r="6" spans="2:9" ht="15.6" customHeight="1" thickBot="1">
      <c r="B6" s="370" t="s">
        <v>654</v>
      </c>
      <c r="C6" s="370" t="s">
        <v>683</v>
      </c>
      <c r="D6" s="370" t="s">
        <v>691</v>
      </c>
      <c r="E6" s="370" t="s">
        <v>692</v>
      </c>
      <c r="F6" s="373" t="s">
        <v>655</v>
      </c>
      <c r="G6" s="374"/>
      <c r="H6" s="374"/>
      <c r="I6" s="375"/>
    </row>
    <row r="7" spans="2:9" ht="31.5" customHeight="1" thickBot="1">
      <c r="B7" s="371"/>
      <c r="C7" s="371"/>
      <c r="D7" s="371"/>
      <c r="E7" s="371"/>
      <c r="F7" s="373" t="s">
        <v>713</v>
      </c>
      <c r="G7" s="375"/>
      <c r="H7" s="376" t="s">
        <v>693</v>
      </c>
      <c r="I7" s="377"/>
    </row>
    <row r="8" spans="2:9" ht="17.25" customHeight="1" thickBot="1">
      <c r="B8" s="372"/>
      <c r="C8" s="372"/>
      <c r="D8" s="372"/>
      <c r="E8" s="372"/>
      <c r="F8" s="237" t="s">
        <v>656</v>
      </c>
      <c r="G8" s="237" t="s">
        <v>657</v>
      </c>
      <c r="H8" s="237" t="s">
        <v>656</v>
      </c>
      <c r="I8" s="238" t="s">
        <v>657</v>
      </c>
    </row>
    <row r="9" spans="2:9" ht="30.75" customHeight="1">
      <c r="B9" s="208" t="s">
        <v>658</v>
      </c>
      <c r="C9" s="315">
        <f>C10+C17+C33+C31</f>
        <v>701507</v>
      </c>
      <c r="D9" s="315">
        <f>D10+D17+D33+D31</f>
        <v>1268431</v>
      </c>
      <c r="E9" s="315">
        <f>E10+E17+E33+E31</f>
        <v>870548</v>
      </c>
      <c r="F9" s="315">
        <f>E9-C9</f>
        <v>169041</v>
      </c>
      <c r="G9" s="316">
        <f>F9/C9*100</f>
        <v>24.096837237547167</v>
      </c>
      <c r="H9" s="315">
        <f>E9-D9</f>
        <v>-397883</v>
      </c>
      <c r="I9" s="316">
        <f>H9/D9*100</f>
        <v>-31.368123295630586</v>
      </c>
    </row>
    <row r="10" spans="2:9" ht="30.75" customHeight="1">
      <c r="B10" s="209" t="s">
        <v>122</v>
      </c>
      <c r="C10" s="315">
        <f>SUM(C11:C16)</f>
        <v>117666</v>
      </c>
      <c r="D10" s="315">
        <f t="shared" ref="D10:E10" si="0">SUM(D11:D16)</f>
        <v>370210</v>
      </c>
      <c r="E10" s="315">
        <f t="shared" si="0"/>
        <v>390377</v>
      </c>
      <c r="F10" s="315">
        <f t="shared" ref="F10:F45" si="1">E10-C10</f>
        <v>272711</v>
      </c>
      <c r="G10" s="316">
        <f t="shared" ref="G10:G39" si="2">F10/C10*100</f>
        <v>231.76703550728334</v>
      </c>
      <c r="H10" s="315">
        <f t="shared" ref="H10:H39" si="3">E10-D10</f>
        <v>20167</v>
      </c>
      <c r="I10" s="316">
        <f t="shared" ref="I10:I39" si="4">H10/D10*100</f>
        <v>5.4474487453067173</v>
      </c>
    </row>
    <row r="11" spans="2:9" ht="30.75" customHeight="1">
      <c r="B11" s="210" t="s">
        <v>627</v>
      </c>
      <c r="C11" s="317">
        <v>116219</v>
      </c>
      <c r="D11" s="317">
        <f>'6.1. Інша інфо_1'!D34</f>
        <v>361770</v>
      </c>
      <c r="E11" s="317">
        <f>'6.1. Інша інфо_1'!G34</f>
        <v>385707</v>
      </c>
      <c r="F11" s="317">
        <f t="shared" si="1"/>
        <v>269488</v>
      </c>
      <c r="G11" s="318">
        <f t="shared" si="2"/>
        <v>231.87946893365114</v>
      </c>
      <c r="H11" s="317">
        <f t="shared" si="3"/>
        <v>23937</v>
      </c>
      <c r="I11" s="318">
        <f t="shared" si="4"/>
        <v>6.616634878513973</v>
      </c>
    </row>
    <row r="12" spans="2:9" ht="30.75" customHeight="1">
      <c r="B12" s="210" t="s">
        <v>628</v>
      </c>
      <c r="C12" s="317">
        <v>275</v>
      </c>
      <c r="D12" s="317">
        <f>'6.1. Інша інфо_1'!D35</f>
        <v>6500</v>
      </c>
      <c r="E12" s="317">
        <f>'6.1. Інша інфо_1'!G35</f>
        <v>3374</v>
      </c>
      <c r="F12" s="317">
        <f t="shared" si="1"/>
        <v>3099</v>
      </c>
      <c r="G12" s="318">
        <f t="shared" si="2"/>
        <v>1126.909090909091</v>
      </c>
      <c r="H12" s="317">
        <f t="shared" si="3"/>
        <v>-3126</v>
      </c>
      <c r="I12" s="318">
        <f t="shared" si="4"/>
        <v>-48.092307692307692</v>
      </c>
    </row>
    <row r="13" spans="2:9" ht="30.75" customHeight="1">
      <c r="B13" s="210" t="s">
        <v>629</v>
      </c>
      <c r="C13" s="317">
        <v>194</v>
      </c>
      <c r="D13" s="317">
        <f>'6.1. Інша інфо_1'!D36</f>
        <v>240</v>
      </c>
      <c r="E13" s="317">
        <f>'6.1. Інша інфо_1'!G36</f>
        <v>209</v>
      </c>
      <c r="F13" s="317">
        <f t="shared" si="1"/>
        <v>15</v>
      </c>
      <c r="G13" s="318">
        <f t="shared" si="2"/>
        <v>7.731958762886598</v>
      </c>
      <c r="H13" s="317">
        <f t="shared" si="3"/>
        <v>-31</v>
      </c>
      <c r="I13" s="318">
        <f t="shared" si="4"/>
        <v>-12.916666666666668</v>
      </c>
    </row>
    <row r="14" spans="2:9" ht="30.75" customHeight="1">
      <c r="B14" s="210" t="s">
        <v>630</v>
      </c>
      <c r="C14" s="317">
        <v>978</v>
      </c>
      <c r="D14" s="317">
        <f>'6.1. Інша інфо_1'!D37</f>
        <v>1100</v>
      </c>
      <c r="E14" s="317">
        <f>'6.1. Інша інфо_1'!G37</f>
        <v>1087</v>
      </c>
      <c r="F14" s="317">
        <f t="shared" si="1"/>
        <v>109</v>
      </c>
      <c r="G14" s="318">
        <f t="shared" si="2"/>
        <v>11.145194274028631</v>
      </c>
      <c r="H14" s="317">
        <f t="shared" si="3"/>
        <v>-13</v>
      </c>
      <c r="I14" s="318">
        <f t="shared" si="4"/>
        <v>-1.1818181818181819</v>
      </c>
    </row>
    <row r="15" spans="2:9" ht="30.75" hidden="1" customHeight="1">
      <c r="B15" s="210" t="s">
        <v>631</v>
      </c>
      <c r="C15" s="317"/>
      <c r="D15" s="317">
        <f>'6.1. Інша інфо_1'!D38</f>
        <v>0</v>
      </c>
      <c r="E15" s="317">
        <f>'6.1. Інша інфо_1'!G38</f>
        <v>0</v>
      </c>
      <c r="F15" s="317">
        <f t="shared" si="1"/>
        <v>0</v>
      </c>
      <c r="G15" s="318" t="e">
        <f t="shared" si="2"/>
        <v>#DIV/0!</v>
      </c>
      <c r="H15" s="317">
        <f t="shared" si="3"/>
        <v>0</v>
      </c>
      <c r="I15" s="318"/>
    </row>
    <row r="16" spans="2:9" ht="30.75" customHeight="1">
      <c r="B16" s="210" t="s">
        <v>632</v>
      </c>
      <c r="C16" s="317"/>
      <c r="D16" s="317">
        <f>'6.1. Інша інфо_1'!D39</f>
        <v>600</v>
      </c>
      <c r="E16" s="317">
        <f>'6.1. Інша інфо_1'!G39</f>
        <v>0</v>
      </c>
      <c r="F16" s="317">
        <f t="shared" si="1"/>
        <v>0</v>
      </c>
      <c r="G16" s="318"/>
      <c r="H16" s="317">
        <f t="shared" si="3"/>
        <v>-600</v>
      </c>
      <c r="I16" s="318">
        <f>H16/D16*100</f>
        <v>-100</v>
      </c>
    </row>
    <row r="17" spans="2:9" ht="30.75" customHeight="1">
      <c r="B17" s="211" t="s">
        <v>349</v>
      </c>
      <c r="C17" s="315">
        <f>SUM(C18:C30)</f>
        <v>575539</v>
      </c>
      <c r="D17" s="315">
        <f>SUM(D18:D30)</f>
        <v>891145</v>
      </c>
      <c r="E17" s="315">
        <f>SUM(E18:E30)</f>
        <v>465250</v>
      </c>
      <c r="F17" s="315">
        <f t="shared" si="1"/>
        <v>-110289</v>
      </c>
      <c r="G17" s="316">
        <f t="shared" si="2"/>
        <v>-19.162732673198516</v>
      </c>
      <c r="H17" s="315">
        <f t="shared" si="3"/>
        <v>-425895</v>
      </c>
      <c r="I17" s="316">
        <f t="shared" si="4"/>
        <v>-47.791885720056783</v>
      </c>
    </row>
    <row r="18" spans="2:9" ht="64.95" customHeight="1">
      <c r="B18" s="212" t="s">
        <v>659</v>
      </c>
      <c r="C18" s="317">
        <f>'Розшифровка фінрезультати'!D64</f>
        <v>2706</v>
      </c>
      <c r="D18" s="317">
        <f>'Розшифровка фінрезультати'!E64</f>
        <v>2500</v>
      </c>
      <c r="E18" s="317">
        <f>'Розшифровка фінрезультати'!F64</f>
        <v>7504</v>
      </c>
      <c r="F18" s="317">
        <f t="shared" si="1"/>
        <v>4798</v>
      </c>
      <c r="G18" s="318">
        <f t="shared" si="2"/>
        <v>177.30968218773097</v>
      </c>
      <c r="H18" s="317">
        <f t="shared" si="3"/>
        <v>5004</v>
      </c>
      <c r="I18" s="318">
        <f t="shared" si="4"/>
        <v>200.15999999999997</v>
      </c>
    </row>
    <row r="19" spans="2:9" ht="30.75" customHeight="1">
      <c r="B19" s="213" t="s">
        <v>488</v>
      </c>
      <c r="C19" s="317">
        <f>'Розшифровка фінрезультати'!D65</f>
        <v>447</v>
      </c>
      <c r="D19" s="317">
        <f>'Розшифровка фінрезультати'!E65</f>
        <v>550</v>
      </c>
      <c r="E19" s="317">
        <f>'Розшифровка фінрезультати'!F65</f>
        <v>432</v>
      </c>
      <c r="F19" s="317">
        <f t="shared" si="1"/>
        <v>-15</v>
      </c>
      <c r="G19" s="318">
        <f t="shared" si="2"/>
        <v>-3.3557046979865772</v>
      </c>
      <c r="H19" s="317">
        <f t="shared" si="3"/>
        <v>-118</v>
      </c>
      <c r="I19" s="318">
        <f t="shared" si="4"/>
        <v>-21.454545454545453</v>
      </c>
    </row>
    <row r="20" spans="2:9" ht="66" customHeight="1">
      <c r="B20" s="213" t="s">
        <v>660</v>
      </c>
      <c r="C20" s="317">
        <f>'Розшифровка фінрезультати'!D66</f>
        <v>0</v>
      </c>
      <c r="D20" s="317">
        <f>'Розшифровка фінрезультати'!E66</f>
        <v>0</v>
      </c>
      <c r="E20" s="317">
        <f>'Розшифровка фінрезультати'!F66</f>
        <v>513</v>
      </c>
      <c r="F20" s="317">
        <f t="shared" si="1"/>
        <v>513</v>
      </c>
      <c r="G20" s="318"/>
      <c r="H20" s="317">
        <f t="shared" si="3"/>
        <v>513</v>
      </c>
      <c r="I20" s="318"/>
    </row>
    <row r="21" spans="2:9" ht="54" customHeight="1">
      <c r="B21" s="213" t="s">
        <v>661</v>
      </c>
      <c r="C21" s="317">
        <f>'Розшифровка фінрезультати'!D67</f>
        <v>0</v>
      </c>
      <c r="D21" s="317">
        <f>'Розшифровка фінрезультати'!E67</f>
        <v>342772</v>
      </c>
      <c r="E21" s="317">
        <f>'Розшифровка фінрезультати'!F67</f>
        <v>0</v>
      </c>
      <c r="F21" s="317">
        <f t="shared" si="1"/>
        <v>0</v>
      </c>
      <c r="G21" s="318"/>
      <c r="H21" s="317">
        <f t="shared" si="3"/>
        <v>-342772</v>
      </c>
      <c r="I21" s="318">
        <f t="shared" si="4"/>
        <v>-100</v>
      </c>
    </row>
    <row r="22" spans="2:9" ht="30.75" customHeight="1">
      <c r="B22" s="213" t="s">
        <v>491</v>
      </c>
      <c r="C22" s="317">
        <f>'Розшифровка фінрезультати'!D68</f>
        <v>0</v>
      </c>
      <c r="D22" s="317">
        <f>'Розшифровка фінрезультати'!E68</f>
        <v>88445</v>
      </c>
      <c r="E22" s="317">
        <f>'Розшифровка фінрезультати'!F68</f>
        <v>0</v>
      </c>
      <c r="F22" s="317">
        <f t="shared" ref="F22:F30" si="5">E22-C22</f>
        <v>0</v>
      </c>
      <c r="G22" s="318"/>
      <c r="H22" s="317">
        <f t="shared" ref="H22:H30" si="6">E22-D22</f>
        <v>-88445</v>
      </c>
      <c r="I22" s="318">
        <f t="shared" ref="I22:I30" si="7">H22/D22*100</f>
        <v>-100</v>
      </c>
    </row>
    <row r="23" spans="2:9" ht="30.75" customHeight="1">
      <c r="B23" s="213" t="s">
        <v>493</v>
      </c>
      <c r="C23" s="317">
        <f>'Розшифровка фінрезультати'!D69</f>
        <v>0</v>
      </c>
      <c r="D23" s="317">
        <f>'Розшифровка фінрезультати'!E69</f>
        <v>0</v>
      </c>
      <c r="E23" s="317">
        <f>'Розшифровка фінрезультати'!F69</f>
        <v>0</v>
      </c>
      <c r="F23" s="317">
        <f t="shared" si="5"/>
        <v>0</v>
      </c>
      <c r="G23" s="318"/>
      <c r="H23" s="317">
        <f t="shared" si="6"/>
        <v>0</v>
      </c>
      <c r="I23" s="318"/>
    </row>
    <row r="24" spans="2:9" ht="30.75" customHeight="1">
      <c r="B24" s="213" t="s">
        <v>495</v>
      </c>
      <c r="C24" s="317">
        <f>'Розшифровка фінрезультати'!D70</f>
        <v>2531</v>
      </c>
      <c r="D24" s="317">
        <f>'Розшифровка фінрезультати'!E70</f>
        <v>4121</v>
      </c>
      <c r="E24" s="317">
        <f>'Розшифровка фінрезультати'!F70</f>
        <v>4121</v>
      </c>
      <c r="F24" s="317">
        <f t="shared" si="5"/>
        <v>1590</v>
      </c>
      <c r="G24" s="318">
        <f t="shared" ref="G24:G30" si="8">F24/C24*100</f>
        <v>62.821019359936784</v>
      </c>
      <c r="H24" s="317">
        <f t="shared" si="6"/>
        <v>0</v>
      </c>
      <c r="I24" s="318">
        <f t="shared" si="7"/>
        <v>0</v>
      </c>
    </row>
    <row r="25" spans="2:9" ht="51.6" customHeight="1">
      <c r="B25" s="213" t="s">
        <v>497</v>
      </c>
      <c r="C25" s="317">
        <f>'Розшифровка фінрезультати'!D71</f>
        <v>606</v>
      </c>
      <c r="D25" s="317">
        <f>'Розшифровка фінрезультати'!E71</f>
        <v>1200</v>
      </c>
      <c r="E25" s="317">
        <f>'Розшифровка фінрезультати'!F71</f>
        <v>1200</v>
      </c>
      <c r="F25" s="317">
        <f t="shared" si="5"/>
        <v>594</v>
      </c>
      <c r="G25" s="318">
        <f t="shared" si="8"/>
        <v>98.019801980198025</v>
      </c>
      <c r="H25" s="317">
        <f t="shared" si="6"/>
        <v>0</v>
      </c>
      <c r="I25" s="318">
        <f t="shared" si="7"/>
        <v>0</v>
      </c>
    </row>
    <row r="26" spans="2:9" ht="80.400000000000006" customHeight="1">
      <c r="B26" s="213" t="s">
        <v>662</v>
      </c>
      <c r="C26" s="317">
        <f>'Розшифровка фінрезультати'!D72</f>
        <v>242</v>
      </c>
      <c r="D26" s="317">
        <f>'Розшифровка фінрезультати'!E72</f>
        <v>267</v>
      </c>
      <c r="E26" s="317">
        <f>'Розшифровка фінрезультати'!F72</f>
        <v>190</v>
      </c>
      <c r="F26" s="317">
        <f t="shared" si="5"/>
        <v>-52</v>
      </c>
      <c r="G26" s="318">
        <f t="shared" si="8"/>
        <v>-21.487603305785125</v>
      </c>
      <c r="H26" s="317">
        <f t="shared" si="6"/>
        <v>-77</v>
      </c>
      <c r="I26" s="318">
        <f t="shared" si="7"/>
        <v>-28.838951310861422</v>
      </c>
    </row>
    <row r="27" spans="2:9" ht="92.4" customHeight="1">
      <c r="B27" s="213" t="s">
        <v>501</v>
      </c>
      <c r="C27" s="317">
        <f>'Розшифровка фінрезультати'!D73</f>
        <v>355064</v>
      </c>
      <c r="D27" s="317">
        <f>'Розшифровка фінрезультати'!E73</f>
        <v>208118</v>
      </c>
      <c r="E27" s="317">
        <f>'Розшифровка фінрезультати'!F73</f>
        <v>208118</v>
      </c>
      <c r="F27" s="317">
        <f t="shared" si="5"/>
        <v>-146946</v>
      </c>
      <c r="G27" s="318">
        <f t="shared" si="8"/>
        <v>-41.385778338553045</v>
      </c>
      <c r="H27" s="317">
        <f t="shared" si="6"/>
        <v>0</v>
      </c>
      <c r="I27" s="318">
        <f t="shared" si="7"/>
        <v>0</v>
      </c>
    </row>
    <row r="28" spans="2:9" ht="96.6" customHeight="1">
      <c r="B28" s="213" t="s">
        <v>663</v>
      </c>
      <c r="C28" s="317">
        <f>'Розшифровка фінрезультати'!D74</f>
        <v>77418</v>
      </c>
      <c r="D28" s="317">
        <f>'Розшифровка фінрезультати'!E74</f>
        <v>82031</v>
      </c>
      <c r="E28" s="317">
        <f>'Розшифровка фінрезультати'!F74</f>
        <v>82031</v>
      </c>
      <c r="F28" s="317">
        <f t="shared" si="5"/>
        <v>4613</v>
      </c>
      <c r="G28" s="318">
        <f t="shared" si="8"/>
        <v>5.9585626081789762</v>
      </c>
      <c r="H28" s="317">
        <f t="shared" si="6"/>
        <v>0</v>
      </c>
      <c r="I28" s="318">
        <f t="shared" si="7"/>
        <v>0</v>
      </c>
    </row>
    <row r="29" spans="2:9" ht="96" customHeight="1">
      <c r="B29" s="214" t="s">
        <v>553</v>
      </c>
      <c r="C29" s="317">
        <f>'Розшифровка фінрезультати'!D75</f>
        <v>97078</v>
      </c>
      <c r="D29" s="317">
        <f>'Розшифровка фінрезультати'!E75</f>
        <v>105079</v>
      </c>
      <c r="E29" s="317">
        <f>'Розшифровка фінрезультати'!F75</f>
        <v>105079</v>
      </c>
      <c r="F29" s="317">
        <f t="shared" si="5"/>
        <v>8001</v>
      </c>
      <c r="G29" s="318">
        <f t="shared" si="8"/>
        <v>8.2418261604070953</v>
      </c>
      <c r="H29" s="317">
        <f t="shared" si="6"/>
        <v>0</v>
      </c>
      <c r="I29" s="318">
        <f t="shared" si="7"/>
        <v>0</v>
      </c>
    </row>
    <row r="30" spans="2:9" ht="100.2" customHeight="1">
      <c r="B30" s="215" t="s">
        <v>554</v>
      </c>
      <c r="C30" s="317">
        <f>'Розшифровка фінрезультати'!D76</f>
        <v>39447</v>
      </c>
      <c r="D30" s="317">
        <f>'Розшифровка фінрезультати'!E76</f>
        <v>56062</v>
      </c>
      <c r="E30" s="317">
        <f>'Розшифровка фінрезультати'!F76</f>
        <v>56062</v>
      </c>
      <c r="F30" s="317">
        <f t="shared" si="5"/>
        <v>16615</v>
      </c>
      <c r="G30" s="318">
        <f t="shared" si="8"/>
        <v>42.119806322407285</v>
      </c>
      <c r="H30" s="317">
        <f t="shared" si="6"/>
        <v>0</v>
      </c>
      <c r="I30" s="318">
        <f t="shared" si="7"/>
        <v>0</v>
      </c>
    </row>
    <row r="31" spans="2:9" ht="30.75" customHeight="1">
      <c r="B31" s="216" t="s">
        <v>188</v>
      </c>
      <c r="C31" s="315">
        <f>C32</f>
        <v>2585</v>
      </c>
      <c r="D31" s="315">
        <f t="shared" ref="D31:E31" si="9">D32</f>
        <v>1500</v>
      </c>
      <c r="E31" s="315">
        <f t="shared" si="9"/>
        <v>7671</v>
      </c>
      <c r="F31" s="315">
        <f t="shared" si="1"/>
        <v>5086</v>
      </c>
      <c r="G31" s="316">
        <f t="shared" si="2"/>
        <v>196.7504835589942</v>
      </c>
      <c r="H31" s="315">
        <f t="shared" si="3"/>
        <v>6171</v>
      </c>
      <c r="I31" s="316">
        <f t="shared" si="4"/>
        <v>411.4</v>
      </c>
    </row>
    <row r="32" spans="2:9" ht="30.75" customHeight="1">
      <c r="B32" s="212" t="s">
        <v>510</v>
      </c>
      <c r="C32" s="317">
        <f>'Розшифровка фінрезультати'!D78</f>
        <v>2585</v>
      </c>
      <c r="D32" s="317">
        <f>'Розшифровка фінрезультати'!E78</f>
        <v>1500</v>
      </c>
      <c r="E32" s="317">
        <f>'Розшифровка фінрезультати'!F78</f>
        <v>7671</v>
      </c>
      <c r="F32" s="317">
        <f t="shared" si="1"/>
        <v>5086</v>
      </c>
      <c r="G32" s="318">
        <f t="shared" si="2"/>
        <v>196.7504835589942</v>
      </c>
      <c r="H32" s="317">
        <f t="shared" si="3"/>
        <v>6171</v>
      </c>
      <c r="I32" s="318">
        <f t="shared" si="4"/>
        <v>411.4</v>
      </c>
    </row>
    <row r="33" spans="2:9" ht="30.75" customHeight="1">
      <c r="B33" s="216" t="s">
        <v>350</v>
      </c>
      <c r="C33" s="315">
        <f>SUM(C34:C45)</f>
        <v>5717</v>
      </c>
      <c r="D33" s="315">
        <f>SUM(D34:D45)</f>
        <v>5576</v>
      </c>
      <c r="E33" s="315">
        <f>SUM(E34:E45)</f>
        <v>7250</v>
      </c>
      <c r="F33" s="315">
        <f>SUM(F34:F45)</f>
        <v>1533</v>
      </c>
      <c r="G33" s="316">
        <f t="shared" si="2"/>
        <v>26.814762987580899</v>
      </c>
      <c r="H33" s="315">
        <f>SUM(H34:H45)</f>
        <v>1674</v>
      </c>
      <c r="I33" s="316">
        <f t="shared" si="4"/>
        <v>30.02152080344333</v>
      </c>
    </row>
    <row r="34" spans="2:9" ht="35.4" customHeight="1">
      <c r="B34" s="160" t="s">
        <v>514</v>
      </c>
      <c r="C34" s="317">
        <f>'Розшифровка фінрезультати'!D80</f>
        <v>4470</v>
      </c>
      <c r="D34" s="317">
        <f>'Розшифровка фінрезультати'!E80</f>
        <v>4496</v>
      </c>
      <c r="E34" s="317">
        <f>'Розшифровка фінрезультати'!F80</f>
        <v>5332</v>
      </c>
      <c r="F34" s="317">
        <f t="shared" si="1"/>
        <v>862</v>
      </c>
      <c r="G34" s="318">
        <f t="shared" si="2"/>
        <v>19.284116331096197</v>
      </c>
      <c r="H34" s="317">
        <f t="shared" si="3"/>
        <v>836</v>
      </c>
      <c r="I34" s="318">
        <f t="shared" si="4"/>
        <v>18.594306049822066</v>
      </c>
    </row>
    <row r="35" spans="2:9" ht="60" customHeight="1">
      <c r="B35" s="160" t="s">
        <v>759</v>
      </c>
      <c r="C35" s="317">
        <f>'Розшифровка фінрезультати'!D81</f>
        <v>199</v>
      </c>
      <c r="D35" s="317">
        <f>'Розшифровка фінрезультати'!E81</f>
        <v>0</v>
      </c>
      <c r="E35" s="317">
        <f>'Розшифровка фінрезультати'!F81</f>
        <v>144</v>
      </c>
      <c r="F35" s="317">
        <f t="shared" si="1"/>
        <v>-55</v>
      </c>
      <c r="G35" s="318">
        <f t="shared" si="2"/>
        <v>-27.638190954773869</v>
      </c>
      <c r="H35" s="317">
        <f t="shared" si="3"/>
        <v>144</v>
      </c>
      <c r="I35" s="318"/>
    </row>
    <row r="36" spans="2:9" ht="50.4" customHeight="1">
      <c r="B36" s="160" t="s">
        <v>513</v>
      </c>
      <c r="C36" s="317">
        <f>'Розшифровка фінрезультати'!D82</f>
        <v>616</v>
      </c>
      <c r="D36" s="317">
        <f>'Розшифровка фінрезультати'!E82</f>
        <v>600</v>
      </c>
      <c r="E36" s="317">
        <f>'Розшифровка фінрезультати'!F82</f>
        <v>811</v>
      </c>
      <c r="F36" s="317">
        <f t="shared" si="1"/>
        <v>195</v>
      </c>
      <c r="G36" s="318">
        <f t="shared" si="2"/>
        <v>31.655844155844154</v>
      </c>
      <c r="H36" s="317">
        <f t="shared" si="3"/>
        <v>211</v>
      </c>
      <c r="I36" s="318">
        <f t="shared" si="4"/>
        <v>35.166666666666671</v>
      </c>
    </row>
    <row r="37" spans="2:9" ht="22.2" customHeight="1">
      <c r="B37" s="160" t="s">
        <v>515</v>
      </c>
      <c r="C37" s="317">
        <f>'Розшифровка фінрезультати'!D83</f>
        <v>0</v>
      </c>
      <c r="D37" s="317">
        <f>'Розшифровка фінрезультати'!E83</f>
        <v>0</v>
      </c>
      <c r="E37" s="317">
        <f>'Розшифровка фінрезультати'!F83</f>
        <v>0</v>
      </c>
      <c r="F37" s="317"/>
      <c r="G37" s="318"/>
      <c r="H37" s="317"/>
      <c r="I37" s="318"/>
    </row>
    <row r="38" spans="2:9" ht="39" customHeight="1">
      <c r="B38" s="163" t="s">
        <v>519</v>
      </c>
      <c r="C38" s="317">
        <f>'Розшифровка фінрезультати'!D84</f>
        <v>48</v>
      </c>
      <c r="D38" s="317">
        <f>'Розшифровка фінрезультати'!E84</f>
        <v>0</v>
      </c>
      <c r="E38" s="317">
        <f>'Розшифровка фінрезультати'!F84</f>
        <v>54</v>
      </c>
      <c r="F38" s="317">
        <f t="shared" si="1"/>
        <v>6</v>
      </c>
      <c r="G38" s="318">
        <f t="shared" si="2"/>
        <v>12.5</v>
      </c>
      <c r="H38" s="317">
        <f t="shared" si="3"/>
        <v>54</v>
      </c>
      <c r="I38" s="318"/>
    </row>
    <row r="39" spans="2:9" ht="25.2" customHeight="1">
      <c r="B39" s="160" t="s">
        <v>518</v>
      </c>
      <c r="C39" s="317">
        <f>'Розшифровка фінрезультати'!D85</f>
        <v>154</v>
      </c>
      <c r="D39" s="317">
        <f>'Розшифровка фінрезультати'!E85</f>
        <v>200</v>
      </c>
      <c r="E39" s="317">
        <f>'Розшифровка фінрезультати'!F85</f>
        <v>631</v>
      </c>
      <c r="F39" s="317">
        <f t="shared" si="1"/>
        <v>477</v>
      </c>
      <c r="G39" s="318">
        <f t="shared" si="2"/>
        <v>309.74025974025972</v>
      </c>
      <c r="H39" s="317">
        <f t="shared" si="3"/>
        <v>431</v>
      </c>
      <c r="I39" s="318">
        <f t="shared" si="4"/>
        <v>215.49999999999997</v>
      </c>
    </row>
    <row r="40" spans="2:9" ht="18.600000000000001" customHeight="1">
      <c r="B40" s="163" t="s">
        <v>521</v>
      </c>
      <c r="C40" s="317">
        <f>'Розшифровка фінрезультати'!D86</f>
        <v>26</v>
      </c>
      <c r="D40" s="317">
        <f>'Розшифровка фінрезультати'!E86</f>
        <v>0</v>
      </c>
      <c r="E40" s="317">
        <f>'Розшифровка фінрезультати'!F86</f>
        <v>0</v>
      </c>
      <c r="F40" s="317">
        <f t="shared" si="1"/>
        <v>-26</v>
      </c>
      <c r="G40" s="318">
        <f t="shared" ref="G40:G45" si="10">F40/C40*100</f>
        <v>-100</v>
      </c>
      <c r="H40" s="317">
        <f t="shared" ref="H40:H45" si="11">E40-D40</f>
        <v>0</v>
      </c>
      <c r="I40" s="318"/>
    </row>
    <row r="41" spans="2:9" ht="40.200000000000003" customHeight="1">
      <c r="B41" s="160" t="s">
        <v>760</v>
      </c>
      <c r="C41" s="317">
        <f>'Розшифровка фінрезультати'!D87</f>
        <v>196</v>
      </c>
      <c r="D41" s="317">
        <f>'Розшифровка фінрезультати'!E87</f>
        <v>250</v>
      </c>
      <c r="E41" s="317">
        <f>'Розшифровка фінрезультати'!F87</f>
        <v>278</v>
      </c>
      <c r="F41" s="317">
        <f t="shared" si="1"/>
        <v>82</v>
      </c>
      <c r="G41" s="318">
        <f t="shared" si="10"/>
        <v>41.836734693877553</v>
      </c>
      <c r="H41" s="317">
        <f t="shared" si="11"/>
        <v>28</v>
      </c>
      <c r="I41" s="318">
        <f t="shared" ref="I41:I43" si="12">H41/D41*100</f>
        <v>11.200000000000001</v>
      </c>
    </row>
    <row r="42" spans="2:9" ht="30.75" customHeight="1">
      <c r="B42" s="163" t="s">
        <v>520</v>
      </c>
      <c r="C42" s="317">
        <f>'Розшифровка фінрезультати'!D88</f>
        <v>1</v>
      </c>
      <c r="D42" s="317">
        <f>'Розшифровка фінрезультати'!E88</f>
        <v>0</v>
      </c>
      <c r="E42" s="317">
        <f>'Розшифровка фінрезультати'!F88</f>
        <v>0</v>
      </c>
      <c r="F42" s="317">
        <f t="shared" si="1"/>
        <v>-1</v>
      </c>
      <c r="G42" s="318">
        <f t="shared" si="10"/>
        <v>-100</v>
      </c>
      <c r="H42" s="317">
        <f t="shared" si="11"/>
        <v>0</v>
      </c>
      <c r="I42" s="318"/>
    </row>
    <row r="43" spans="2:9" ht="18">
      <c r="B43" s="160" t="s">
        <v>516</v>
      </c>
      <c r="C43" s="317">
        <f>'Розшифровка фінрезультати'!D89</f>
        <v>0</v>
      </c>
      <c r="D43" s="317">
        <f>'Розшифровка фінрезультати'!E89</f>
        <v>30</v>
      </c>
      <c r="E43" s="317">
        <f>'Розшифровка фінрезультати'!F89</f>
        <v>0</v>
      </c>
      <c r="F43" s="317">
        <f t="shared" si="1"/>
        <v>0</v>
      </c>
      <c r="G43" s="318"/>
      <c r="H43" s="317">
        <f t="shared" si="11"/>
        <v>-30</v>
      </c>
      <c r="I43" s="318">
        <f t="shared" si="12"/>
        <v>-100</v>
      </c>
    </row>
    <row r="44" spans="2:9" ht="18">
      <c r="B44" s="160" t="s">
        <v>517</v>
      </c>
      <c r="C44" s="317">
        <f>'Розшифровка фінрезультати'!D90</f>
        <v>1</v>
      </c>
      <c r="D44" s="317">
        <f>'Розшифровка фінрезультати'!E90</f>
        <v>0</v>
      </c>
      <c r="E44" s="317">
        <f>'Розшифровка фінрезультати'!F90</f>
        <v>0</v>
      </c>
      <c r="F44" s="317">
        <f t="shared" si="1"/>
        <v>-1</v>
      </c>
      <c r="G44" s="318">
        <f t="shared" si="10"/>
        <v>-100</v>
      </c>
      <c r="H44" s="317">
        <f t="shared" si="11"/>
        <v>0</v>
      </c>
      <c r="I44" s="318"/>
    </row>
    <row r="45" spans="2:9" ht="18">
      <c r="B45" s="163" t="s">
        <v>522</v>
      </c>
      <c r="C45" s="317">
        <f>'Розшифровка фінрезультати'!D91</f>
        <v>6</v>
      </c>
      <c r="D45" s="317">
        <f>'Розшифровка фінрезультати'!E91</f>
        <v>0</v>
      </c>
      <c r="E45" s="317">
        <f>'Розшифровка фінрезультати'!F91</f>
        <v>0</v>
      </c>
      <c r="F45" s="317">
        <f t="shared" si="1"/>
        <v>-6</v>
      </c>
      <c r="G45" s="318">
        <f t="shared" si="10"/>
        <v>-100</v>
      </c>
      <c r="H45" s="317">
        <f t="shared" si="11"/>
        <v>0</v>
      </c>
      <c r="I45" s="318"/>
    </row>
    <row r="46" spans="2:9" ht="18">
      <c r="B46" s="222"/>
      <c r="I46" s="217" t="s">
        <v>340</v>
      </c>
    </row>
    <row r="47" spans="2:9" ht="16.8">
      <c r="B47" s="378" t="s">
        <v>664</v>
      </c>
      <c r="C47" s="378"/>
      <c r="D47" s="378"/>
      <c r="E47" s="378"/>
      <c r="F47" s="378"/>
      <c r="G47" s="378"/>
      <c r="H47" s="378"/>
      <c r="I47" s="378"/>
    </row>
    <row r="48" spans="2:9" ht="17.399999999999999" thickBot="1">
      <c r="I48" s="217" t="s">
        <v>423</v>
      </c>
    </row>
    <row r="49" spans="2:9" ht="16.5" customHeight="1" thickBot="1">
      <c r="B49" s="370" t="s">
        <v>654</v>
      </c>
      <c r="C49" s="370" t="s">
        <v>683</v>
      </c>
      <c r="D49" s="370" t="s">
        <v>691</v>
      </c>
      <c r="E49" s="370" t="s">
        <v>692</v>
      </c>
      <c r="F49" s="373" t="s">
        <v>655</v>
      </c>
      <c r="G49" s="374"/>
      <c r="H49" s="374"/>
      <c r="I49" s="375"/>
    </row>
    <row r="50" spans="2:9" ht="31.5" customHeight="1" thickBot="1">
      <c r="B50" s="371"/>
      <c r="C50" s="371"/>
      <c r="D50" s="371"/>
      <c r="E50" s="371"/>
      <c r="F50" s="373" t="s">
        <v>713</v>
      </c>
      <c r="G50" s="375"/>
      <c r="H50" s="376" t="s">
        <v>693</v>
      </c>
      <c r="I50" s="377"/>
    </row>
    <row r="51" spans="2:9" ht="14.4" thickBot="1">
      <c r="B51" s="372"/>
      <c r="C51" s="372"/>
      <c r="D51" s="372"/>
      <c r="E51" s="372"/>
      <c r="F51" s="237" t="s">
        <v>656</v>
      </c>
      <c r="G51" s="237" t="s">
        <v>657</v>
      </c>
      <c r="H51" s="237" t="s">
        <v>656</v>
      </c>
      <c r="I51" s="238" t="s">
        <v>657</v>
      </c>
    </row>
    <row r="52" spans="2:9" ht="15.6">
      <c r="B52" s="218" t="s">
        <v>665</v>
      </c>
      <c r="C52" s="315">
        <f>SUM(C53:C58)</f>
        <v>715700</v>
      </c>
      <c r="D52" s="315">
        <f t="shared" ref="D52:E52" si="13">SUM(D53:D58)</f>
        <v>1268431</v>
      </c>
      <c r="E52" s="315">
        <f t="shared" si="13"/>
        <v>896985</v>
      </c>
      <c r="F52" s="315">
        <f t="shared" ref="F52:F58" si="14">E52-C52</f>
        <v>181285</v>
      </c>
      <c r="G52" s="316">
        <f>F52/C52*100</f>
        <v>25.329747100740533</v>
      </c>
      <c r="H52" s="315">
        <f>E52-D52</f>
        <v>-371446</v>
      </c>
      <c r="I52" s="316">
        <f t="shared" ref="I52:I57" si="15">H52/D52*100</f>
        <v>-29.283894827546785</v>
      </c>
    </row>
    <row r="53" spans="2:9" ht="31.2">
      <c r="B53" s="219" t="s">
        <v>110</v>
      </c>
      <c r="C53" s="317">
        <f>-'I. Фін результат'!C9</f>
        <v>634675</v>
      </c>
      <c r="D53" s="317">
        <f>-'I. Фін результат'!E9</f>
        <v>1159020</v>
      </c>
      <c r="E53" s="317">
        <f>-'I. Фін результат'!D9</f>
        <v>777297</v>
      </c>
      <c r="F53" s="317">
        <f t="shared" si="14"/>
        <v>142622</v>
      </c>
      <c r="G53" s="318">
        <f t="shared" ref="G53:G57" si="16">F53/C53*100</f>
        <v>22.471658722968449</v>
      </c>
      <c r="H53" s="317">
        <f t="shared" ref="H53:H58" si="17">E53-D53</f>
        <v>-381723</v>
      </c>
      <c r="I53" s="318">
        <f t="shared" si="15"/>
        <v>-32.934979551690219</v>
      </c>
    </row>
    <row r="54" spans="2:9" ht="15.6">
      <c r="B54" s="212" t="s">
        <v>348</v>
      </c>
      <c r="C54" s="317">
        <f>-'I. Фін результат'!C19</f>
        <v>37571</v>
      </c>
      <c r="D54" s="317">
        <f>-'I. Фін результат'!E19</f>
        <v>46292</v>
      </c>
      <c r="E54" s="317">
        <f>-'I. Фін результат'!D19</f>
        <v>47635</v>
      </c>
      <c r="F54" s="317">
        <f t="shared" si="14"/>
        <v>10064</v>
      </c>
      <c r="G54" s="318">
        <f t="shared" si="16"/>
        <v>26.786617337840358</v>
      </c>
      <c r="H54" s="317">
        <f t="shared" si="17"/>
        <v>1343</v>
      </c>
      <c r="I54" s="318">
        <f t="shared" si="15"/>
        <v>2.9011492266482328</v>
      </c>
    </row>
    <row r="55" spans="2:9" ht="15.6">
      <c r="B55" s="212" t="s">
        <v>99</v>
      </c>
      <c r="C55" s="317">
        <f>-'I. Фін результат'!C40</f>
        <v>23688</v>
      </c>
      <c r="D55" s="317">
        <f>-'I. Фін результат'!E40</f>
        <v>52266</v>
      </c>
      <c r="E55" s="317">
        <f>-'I. Фін результат'!D40</f>
        <v>61856</v>
      </c>
      <c r="F55" s="317">
        <f>E55-C55</f>
        <v>38168</v>
      </c>
      <c r="G55" s="318">
        <f t="shared" si="16"/>
        <v>161.12799729821006</v>
      </c>
      <c r="H55" s="317">
        <f t="shared" si="17"/>
        <v>9590</v>
      </c>
      <c r="I55" s="318">
        <f t="shared" si="15"/>
        <v>18.348448322044923</v>
      </c>
    </row>
    <row r="56" spans="2:9" ht="15.6">
      <c r="B56" s="212" t="s">
        <v>27</v>
      </c>
      <c r="C56" s="319">
        <f>-'I. Фін результат'!C52</f>
        <v>8396</v>
      </c>
      <c r="D56" s="319">
        <f>-'I. Фін результат'!E52</f>
        <v>10706</v>
      </c>
      <c r="E56" s="319">
        <f>-'I. Фін результат'!D52</f>
        <v>9914</v>
      </c>
      <c r="F56" s="317">
        <f t="shared" si="14"/>
        <v>1518</v>
      </c>
      <c r="G56" s="318">
        <f t="shared" si="16"/>
        <v>18.080038113387328</v>
      </c>
      <c r="H56" s="317">
        <f t="shared" si="17"/>
        <v>-792</v>
      </c>
      <c r="I56" s="318">
        <f t="shared" si="15"/>
        <v>-7.3977209041658885</v>
      </c>
    </row>
    <row r="57" spans="2:9" ht="15.6">
      <c r="B57" s="212" t="s">
        <v>189</v>
      </c>
      <c r="C57" s="320">
        <f>-'I. Фін результат'!C63</f>
        <v>7110</v>
      </c>
      <c r="D57" s="320">
        <f>-'I. Фін результат'!E63</f>
        <v>117</v>
      </c>
      <c r="E57" s="320">
        <f>-'I. Фін результат'!D63</f>
        <v>227</v>
      </c>
      <c r="F57" s="317">
        <f t="shared" si="14"/>
        <v>-6883</v>
      </c>
      <c r="G57" s="318">
        <f t="shared" si="16"/>
        <v>-96.807313642756682</v>
      </c>
      <c r="H57" s="317">
        <f t="shared" si="17"/>
        <v>110</v>
      </c>
      <c r="I57" s="318">
        <f t="shared" si="15"/>
        <v>94.01709401709401</v>
      </c>
    </row>
    <row r="58" spans="2:9" ht="15.6">
      <c r="B58" s="212" t="s">
        <v>351</v>
      </c>
      <c r="C58" s="320">
        <f>-'I. Фін результат'!C67</f>
        <v>4260</v>
      </c>
      <c r="D58" s="320">
        <f>-'I. Фін результат'!E67</f>
        <v>30</v>
      </c>
      <c r="E58" s="320">
        <f>-'I. Фін результат'!D67</f>
        <v>56</v>
      </c>
      <c r="F58" s="317">
        <f t="shared" si="14"/>
        <v>-4204</v>
      </c>
      <c r="G58" s="318">
        <f>F58/C58*100</f>
        <v>-98.685446009389679</v>
      </c>
      <c r="H58" s="317">
        <f t="shared" si="17"/>
        <v>26</v>
      </c>
      <c r="I58" s="318">
        <f>H58/D58*100</f>
        <v>86.666666666666671</v>
      </c>
    </row>
    <row r="59" spans="2:9" ht="16.8">
      <c r="B59" s="220"/>
      <c r="I59" s="217"/>
    </row>
    <row r="60" spans="2:9" ht="16.8">
      <c r="B60" s="220"/>
      <c r="I60" s="217"/>
    </row>
    <row r="61" spans="2:9" ht="16.8">
      <c r="B61" s="378" t="s">
        <v>666</v>
      </c>
      <c r="C61" s="378"/>
      <c r="D61" s="378"/>
      <c r="E61" s="378"/>
      <c r="F61" s="378"/>
      <c r="G61" s="378"/>
      <c r="H61" s="378"/>
      <c r="I61" s="378"/>
    </row>
    <row r="62" spans="2:9" ht="16.8">
      <c r="B62" s="378" t="s">
        <v>667</v>
      </c>
      <c r="C62" s="378"/>
      <c r="D62" s="378"/>
      <c r="E62" s="378"/>
      <c r="F62" s="378"/>
      <c r="G62" s="378"/>
      <c r="H62" s="378"/>
      <c r="I62" s="378"/>
    </row>
    <row r="63" spans="2:9" ht="16.8">
      <c r="I63" s="217" t="s">
        <v>423</v>
      </c>
    </row>
    <row r="64" spans="2:9" ht="17.399999999999999" thickBot="1">
      <c r="I64" s="217"/>
    </row>
    <row r="65" spans="2:9" ht="16.5" customHeight="1" thickBot="1">
      <c r="B65" s="370" t="s">
        <v>654</v>
      </c>
      <c r="C65" s="370" t="s">
        <v>683</v>
      </c>
      <c r="D65" s="370" t="s">
        <v>691</v>
      </c>
      <c r="E65" s="370" t="s">
        <v>692</v>
      </c>
      <c r="F65" s="373" t="s">
        <v>655</v>
      </c>
      <c r="G65" s="374"/>
      <c r="H65" s="374"/>
      <c r="I65" s="375"/>
    </row>
    <row r="66" spans="2:9" ht="31.5" customHeight="1" thickBot="1">
      <c r="B66" s="371"/>
      <c r="C66" s="371"/>
      <c r="D66" s="371"/>
      <c r="E66" s="371"/>
      <c r="F66" s="373" t="s">
        <v>713</v>
      </c>
      <c r="G66" s="375"/>
      <c r="H66" s="376" t="s">
        <v>693</v>
      </c>
      <c r="I66" s="377"/>
    </row>
    <row r="67" spans="2:9" ht="14.4" thickBot="1">
      <c r="B67" s="372"/>
      <c r="C67" s="372"/>
      <c r="D67" s="372"/>
      <c r="E67" s="372"/>
      <c r="F67" s="237" t="s">
        <v>656</v>
      </c>
      <c r="G67" s="237" t="s">
        <v>657</v>
      </c>
      <c r="H67" s="237" t="s">
        <v>656</v>
      </c>
      <c r="I67" s="238" t="s">
        <v>657</v>
      </c>
    </row>
    <row r="68" spans="2:9" ht="15.6">
      <c r="B68" s="208" t="s">
        <v>668</v>
      </c>
      <c r="C68" s="315">
        <f>SUM(C69:C77)</f>
        <v>121295</v>
      </c>
      <c r="D68" s="315">
        <f>SUM(D69:D77)</f>
        <v>170327</v>
      </c>
      <c r="E68" s="315">
        <f>SUM(E69:E77)</f>
        <v>148836</v>
      </c>
      <c r="F68" s="315">
        <f>E68-C68</f>
        <v>27541</v>
      </c>
      <c r="G68" s="316">
        <f>F68/C68*100</f>
        <v>22.705799909312006</v>
      </c>
      <c r="H68" s="315">
        <f>E68-D68</f>
        <v>-21491</v>
      </c>
      <c r="I68" s="316">
        <f>H68/D68*100</f>
        <v>-12.617494583947348</v>
      </c>
    </row>
    <row r="69" spans="2:9" ht="15.6">
      <c r="B69" s="221" t="s">
        <v>669</v>
      </c>
      <c r="C69" s="317">
        <f>'ІІ. Розр. з бюджетом'!C20</f>
        <v>279</v>
      </c>
      <c r="D69" s="317">
        <f>'ІІ. Розр. з бюджетом'!E20</f>
        <v>600</v>
      </c>
      <c r="E69" s="317">
        <f>'ІІ. Розр. з бюджетом'!D20</f>
        <v>900</v>
      </c>
      <c r="F69" s="317">
        <f>E69-C69</f>
        <v>621</v>
      </c>
      <c r="G69" s="318">
        <f>F69/C69*100</f>
        <v>222.58064516129031</v>
      </c>
      <c r="H69" s="317">
        <f>E69-D69</f>
        <v>300</v>
      </c>
      <c r="I69" s="318">
        <f>H69/D69*100</f>
        <v>50</v>
      </c>
    </row>
    <row r="70" spans="2:9" ht="15.6">
      <c r="B70" s="221" t="s">
        <v>670</v>
      </c>
      <c r="C70" s="317">
        <f>'ІІ. Розр. з бюджетом'!C29</f>
        <v>53443</v>
      </c>
      <c r="D70" s="317">
        <f>'ІІ. Розр. з бюджетом'!E29</f>
        <v>73588</v>
      </c>
      <c r="E70" s="317">
        <f>'ІІ. Розр. з бюджетом'!D29</f>
        <v>66113</v>
      </c>
      <c r="F70" s="317">
        <f t="shared" ref="F70" si="18">E70-C70</f>
        <v>12670</v>
      </c>
      <c r="G70" s="318">
        <f t="shared" ref="G70" si="19">F70/C70*100</f>
        <v>23.707501450143141</v>
      </c>
      <c r="H70" s="317">
        <f t="shared" ref="H70" si="20">E70-D70</f>
        <v>-7475</v>
      </c>
      <c r="I70" s="318">
        <f t="shared" ref="I70" si="21">H70/D70*100</f>
        <v>-10.157906180355493</v>
      </c>
    </row>
    <row r="71" spans="2:9" ht="15.6">
      <c r="B71" s="221" t="s">
        <v>671</v>
      </c>
      <c r="C71" s="317">
        <f>'ІІ. Розр. з бюджетом'!C25</f>
        <v>4456</v>
      </c>
      <c r="D71" s="317">
        <f>'ІІ. Розр. з бюджетом'!E25</f>
        <v>6132</v>
      </c>
      <c r="E71" s="317">
        <f>'ІІ. Розр. з бюджетом'!D25</f>
        <v>5509</v>
      </c>
      <c r="F71" s="317">
        <f>E71-C71</f>
        <v>1053</v>
      </c>
      <c r="G71" s="318">
        <f>F71/C71*100</f>
        <v>23.631059245960504</v>
      </c>
      <c r="H71" s="317">
        <f>E71-D71</f>
        <v>-623</v>
      </c>
      <c r="I71" s="318">
        <f>H71/D71*100</f>
        <v>-10.159817351598173</v>
      </c>
    </row>
    <row r="72" spans="2:9" ht="46.8">
      <c r="B72" s="221" t="s">
        <v>672</v>
      </c>
      <c r="C72" s="317">
        <f>'ІІ. Розр. з бюджетом'!C38</f>
        <v>63103</v>
      </c>
      <c r="D72" s="317">
        <f>'ІІ. Розр. з бюджетом'!E38</f>
        <v>89943</v>
      </c>
      <c r="E72" s="317">
        <f>'ІІ. Розр. з бюджетом'!D38</f>
        <v>76308</v>
      </c>
      <c r="F72" s="317">
        <f>E72-C72</f>
        <v>13205</v>
      </c>
      <c r="G72" s="318">
        <f>F72/C72*100</f>
        <v>20.926104939543286</v>
      </c>
      <c r="H72" s="317">
        <f>E72-D72</f>
        <v>-13635</v>
      </c>
      <c r="I72" s="318">
        <f>H72/D72*100</f>
        <v>-15.159601080684434</v>
      </c>
    </row>
    <row r="73" spans="2:9" ht="15.6">
      <c r="B73" s="221" t="s">
        <v>673</v>
      </c>
      <c r="C73" s="317">
        <f>'ІІ. Розр. з бюджетом'!C31</f>
        <v>7</v>
      </c>
      <c r="D73" s="317">
        <f>'ІІ. Розр. з бюджетом'!E31</f>
        <v>6</v>
      </c>
      <c r="E73" s="317">
        <f>'ІІ. Розр. з бюджетом'!D31</f>
        <v>0</v>
      </c>
      <c r="F73" s="317">
        <f t="shared" ref="F73:F75" si="22">E73-C73</f>
        <v>-7</v>
      </c>
      <c r="G73" s="318">
        <f t="shared" ref="G73:G75" si="23">F73/C73*100</f>
        <v>-100</v>
      </c>
      <c r="H73" s="317">
        <f t="shared" ref="H73:H75" si="24">E73-D73</f>
        <v>-6</v>
      </c>
      <c r="I73" s="318">
        <f t="shared" ref="I73:I75" si="25">H73/D73*100</f>
        <v>-100</v>
      </c>
    </row>
    <row r="74" spans="2:9" ht="15.6">
      <c r="B74" s="221" t="s">
        <v>559</v>
      </c>
      <c r="C74" s="317">
        <f>'ІІ. Розр. з бюджетом'!C39</f>
        <v>0</v>
      </c>
      <c r="D74" s="317">
        <f>'ІІ. Розр. з бюджетом'!E39</f>
        <v>49</v>
      </c>
      <c r="E74" s="317">
        <f>'ІІ. Розр. з бюджетом'!D39</f>
        <v>0</v>
      </c>
      <c r="F74" s="317">
        <f t="shared" si="22"/>
        <v>0</v>
      </c>
      <c r="G74" s="318"/>
      <c r="H74" s="317">
        <f t="shared" si="24"/>
        <v>-49</v>
      </c>
      <c r="I74" s="318">
        <f t="shared" si="25"/>
        <v>-100</v>
      </c>
    </row>
    <row r="75" spans="2:9" ht="17.399999999999999" customHeight="1">
      <c r="B75" s="221" t="s">
        <v>558</v>
      </c>
      <c r="C75" s="317">
        <f>'ІІ. Розр. з бюджетом'!C35</f>
        <v>7</v>
      </c>
      <c r="D75" s="317">
        <f>'ІІ. Розр. з бюджетом'!E35</f>
        <v>8</v>
      </c>
      <c r="E75" s="317">
        <f>'ІІ. Розр. з бюджетом'!D35</f>
        <v>6</v>
      </c>
      <c r="F75" s="317">
        <f t="shared" si="22"/>
        <v>-1</v>
      </c>
      <c r="G75" s="318">
        <f t="shared" si="23"/>
        <v>-14.285714285714285</v>
      </c>
      <c r="H75" s="317">
        <f t="shared" si="24"/>
        <v>-2</v>
      </c>
      <c r="I75" s="318">
        <f t="shared" si="25"/>
        <v>-25</v>
      </c>
    </row>
    <row r="76" spans="2:9" ht="17.399999999999999" customHeight="1">
      <c r="B76" s="221" t="s">
        <v>560</v>
      </c>
      <c r="C76" s="317"/>
      <c r="D76" s="317">
        <v>1</v>
      </c>
      <c r="E76" s="317"/>
      <c r="F76" s="317">
        <f t="shared" ref="F76:F77" si="26">E76-C76</f>
        <v>0</v>
      </c>
      <c r="G76" s="318"/>
      <c r="H76" s="317">
        <f t="shared" ref="H76:H77" si="27">E76-D76</f>
        <v>-1</v>
      </c>
      <c r="I76" s="318">
        <f t="shared" ref="I76" si="28">H76/D76*100</f>
        <v>-100</v>
      </c>
    </row>
    <row r="77" spans="2:9" ht="15.6">
      <c r="B77" s="221" t="s">
        <v>674</v>
      </c>
      <c r="C77" s="317">
        <f>'ІІ. Розр. з бюджетом'!C32</f>
        <v>0</v>
      </c>
      <c r="D77" s="317">
        <f>'ІІ. Розр. з бюджетом'!E32</f>
        <v>0</v>
      </c>
      <c r="E77" s="317">
        <f>'ІІ. Розр. з бюджетом'!D32</f>
        <v>0</v>
      </c>
      <c r="F77" s="317">
        <f t="shared" si="26"/>
        <v>0</v>
      </c>
      <c r="G77" s="318"/>
      <c r="H77" s="317">
        <f t="shared" si="27"/>
        <v>0</v>
      </c>
      <c r="I77" s="318"/>
    </row>
    <row r="79" spans="2:9" ht="16.8">
      <c r="B79" s="378" t="s">
        <v>675</v>
      </c>
      <c r="C79" s="378"/>
      <c r="D79" s="378"/>
      <c r="E79" s="378"/>
      <c r="F79" s="378"/>
      <c r="G79" s="378"/>
      <c r="H79" s="378"/>
      <c r="I79" s="378"/>
    </row>
    <row r="81" spans="2:9" ht="13.8" thickBot="1"/>
    <row r="82" spans="2:9" ht="16.5" customHeight="1" thickBot="1">
      <c r="B82" s="370" t="s">
        <v>654</v>
      </c>
      <c r="C82" s="370" t="s">
        <v>683</v>
      </c>
      <c r="D82" s="370" t="s">
        <v>691</v>
      </c>
      <c r="E82" s="370" t="s">
        <v>692</v>
      </c>
      <c r="F82" s="373" t="s">
        <v>655</v>
      </c>
      <c r="G82" s="374"/>
      <c r="H82" s="374"/>
      <c r="I82" s="375"/>
    </row>
    <row r="83" spans="2:9" ht="31.5" customHeight="1" thickBot="1">
      <c r="B83" s="371"/>
      <c r="C83" s="371"/>
      <c r="D83" s="371"/>
      <c r="E83" s="371"/>
      <c r="F83" s="373" t="s">
        <v>713</v>
      </c>
      <c r="G83" s="375"/>
      <c r="H83" s="376" t="s">
        <v>693</v>
      </c>
      <c r="I83" s="377"/>
    </row>
    <row r="84" spans="2:9" ht="14.4" thickBot="1">
      <c r="B84" s="372"/>
      <c r="C84" s="372"/>
      <c r="D84" s="372"/>
      <c r="E84" s="372"/>
      <c r="F84" s="237" t="s">
        <v>656</v>
      </c>
      <c r="G84" s="237" t="s">
        <v>657</v>
      </c>
      <c r="H84" s="237" t="s">
        <v>656</v>
      </c>
      <c r="I84" s="238" t="s">
        <v>657</v>
      </c>
    </row>
    <row r="85" spans="2:9" ht="15.6">
      <c r="B85" s="321" t="s">
        <v>676</v>
      </c>
      <c r="C85" s="317">
        <f>'Осн. фін. пок.'!C27</f>
        <v>-517009</v>
      </c>
      <c r="D85" s="317">
        <f>'Осн. фін. пок.'!E27</f>
        <v>-788810</v>
      </c>
      <c r="E85" s="317">
        <f>'Осн. фін. пок.'!D27</f>
        <v>-386920</v>
      </c>
      <c r="F85" s="317">
        <f>E85-C85</f>
        <v>130089</v>
      </c>
      <c r="G85" s="318">
        <f>F85/C85*100</f>
        <v>-25.161844377950864</v>
      </c>
      <c r="H85" s="317">
        <f t="shared" ref="H85" si="29">E85-D85</f>
        <v>401890</v>
      </c>
      <c r="I85" s="318">
        <f>H85/D85*100</f>
        <v>-50.948897706672078</v>
      </c>
    </row>
    <row r="86" spans="2:9" ht="31.2">
      <c r="B86" s="321" t="s">
        <v>4</v>
      </c>
      <c r="C86" s="317">
        <f>'Осн. фін. пок.'!C32</f>
        <v>-11125</v>
      </c>
      <c r="D86" s="317">
        <f>'Осн. фін. пок.'!E32</f>
        <v>-6929</v>
      </c>
      <c r="E86" s="317">
        <f>'Осн. фін. пок.'!D32</f>
        <v>-41075</v>
      </c>
      <c r="F86" s="317">
        <f t="shared" ref="F86:F90" si="30">E86-C86</f>
        <v>-29950</v>
      </c>
      <c r="G86" s="318">
        <f>F86/C86*100</f>
        <v>269.21348314606746</v>
      </c>
      <c r="H86" s="317">
        <f>E86-D86</f>
        <v>-34146</v>
      </c>
      <c r="I86" s="318">
        <f>H86/D86*100</f>
        <v>492.79838360513787</v>
      </c>
    </row>
    <row r="87" spans="2:9" ht="31.2">
      <c r="B87" s="321" t="s">
        <v>74</v>
      </c>
      <c r="C87" s="317">
        <f>'Осн. фін. пок.'!C41</f>
        <v>-14193</v>
      </c>
      <c r="D87" s="317">
        <f>'Осн. фін. пок.'!E41</f>
        <v>0</v>
      </c>
      <c r="E87" s="317">
        <f>'Осн. фін. пок.'!D41</f>
        <v>-26437</v>
      </c>
      <c r="F87" s="317">
        <f t="shared" si="30"/>
        <v>-12244</v>
      </c>
      <c r="G87" s="318">
        <f t="shared" ref="G87:G90" si="31">F87/C87*100</f>
        <v>86.267878531670533</v>
      </c>
      <c r="H87" s="317">
        <f t="shared" ref="H87:H89" si="32">E87-D87</f>
        <v>-26437</v>
      </c>
      <c r="I87" s="318"/>
    </row>
    <row r="88" spans="2:9" ht="31.2">
      <c r="B88" s="321" t="s">
        <v>677</v>
      </c>
      <c r="C88" s="317">
        <f>C90</f>
        <v>-14193</v>
      </c>
      <c r="D88" s="317" t="str">
        <f t="shared" ref="D88:E88" si="33">D90</f>
        <v/>
      </c>
      <c r="E88" s="317">
        <f t="shared" si="33"/>
        <v>-26437</v>
      </c>
      <c r="F88" s="317">
        <f>E88-C88</f>
        <v>-12244</v>
      </c>
      <c r="G88" s="318">
        <f>F88/C88*100</f>
        <v>86.267878531670533</v>
      </c>
      <c r="H88" s="317"/>
      <c r="I88" s="318"/>
    </row>
    <row r="89" spans="2:9" ht="15.6">
      <c r="B89" s="322" t="s">
        <v>678</v>
      </c>
      <c r="C89" s="323"/>
      <c r="D89" s="323"/>
      <c r="E89" s="317"/>
      <c r="F89" s="317"/>
      <c r="G89" s="318"/>
      <c r="H89" s="317">
        <f t="shared" si="32"/>
        <v>0</v>
      </c>
      <c r="I89" s="318"/>
    </row>
    <row r="90" spans="2:9" ht="15.6">
      <c r="B90" s="322" t="s">
        <v>25</v>
      </c>
      <c r="C90" s="317">
        <f>'Осн. фін. пок.'!C48</f>
        <v>-14193</v>
      </c>
      <c r="D90" s="317" t="str">
        <f>'Осн. фін. пок.'!E48</f>
        <v/>
      </c>
      <c r="E90" s="317">
        <f>'Осн. фін. пок.'!D48</f>
        <v>-26437</v>
      </c>
      <c r="F90" s="317">
        <f t="shared" si="30"/>
        <v>-12244</v>
      </c>
      <c r="G90" s="318">
        <f t="shared" si="31"/>
        <v>86.267878531670533</v>
      </c>
      <c r="H90" s="317"/>
      <c r="I90" s="318"/>
    </row>
    <row r="93" spans="2:9" ht="16.8">
      <c r="B93" s="378" t="s">
        <v>679</v>
      </c>
      <c r="C93" s="378"/>
      <c r="D93" s="378"/>
      <c r="E93" s="378"/>
      <c r="F93" s="378"/>
      <c r="G93" s="378"/>
      <c r="H93" s="378"/>
      <c r="I93" s="378"/>
    </row>
    <row r="94" spans="2:9" ht="17.399999999999999" thickBot="1">
      <c r="B94" s="280"/>
      <c r="C94" s="280"/>
      <c r="D94" s="280"/>
      <c r="E94" s="280"/>
      <c r="F94" s="280"/>
      <c r="G94" s="280"/>
      <c r="H94" s="280"/>
      <c r="I94" s="280"/>
    </row>
    <row r="95" spans="2:9" ht="15.6" customHeight="1" thickBot="1">
      <c r="B95" s="370" t="s">
        <v>654</v>
      </c>
      <c r="C95" s="370" t="s">
        <v>683</v>
      </c>
      <c r="D95" s="370" t="s">
        <v>691</v>
      </c>
      <c r="E95" s="370" t="s">
        <v>692</v>
      </c>
      <c r="F95" s="373" t="s">
        <v>655</v>
      </c>
      <c r="G95" s="374"/>
      <c r="H95" s="374"/>
      <c r="I95" s="375"/>
    </row>
    <row r="96" spans="2:9" ht="31.5" customHeight="1" thickBot="1">
      <c r="B96" s="371"/>
      <c r="C96" s="371"/>
      <c r="D96" s="371"/>
      <c r="E96" s="371"/>
      <c r="F96" s="373" t="s">
        <v>713</v>
      </c>
      <c r="G96" s="375"/>
      <c r="H96" s="376" t="s">
        <v>693</v>
      </c>
      <c r="I96" s="377"/>
    </row>
    <row r="97" spans="2:9" ht="14.4" thickBot="1">
      <c r="B97" s="372"/>
      <c r="C97" s="372"/>
      <c r="D97" s="372"/>
      <c r="E97" s="372"/>
      <c r="F97" s="237" t="s">
        <v>656</v>
      </c>
      <c r="G97" s="237" t="s">
        <v>657</v>
      </c>
      <c r="H97" s="237" t="s">
        <v>656</v>
      </c>
      <c r="I97" s="238" t="s">
        <v>657</v>
      </c>
    </row>
    <row r="98" spans="2:9" ht="31.2">
      <c r="B98" s="208" t="s">
        <v>680</v>
      </c>
      <c r="C98" s="315">
        <f>SUM(C99:C101)</f>
        <v>1429</v>
      </c>
      <c r="D98" s="315">
        <f t="shared" ref="D98:E98" si="34">SUM(D99:D101)</f>
        <v>1729</v>
      </c>
      <c r="E98" s="315">
        <f t="shared" si="34"/>
        <v>1407</v>
      </c>
      <c r="F98" s="316">
        <f t="shared" ref="F98:F109" si="35">E98-C98</f>
        <v>-22</v>
      </c>
      <c r="G98" s="316">
        <f t="shared" ref="G98:G109" si="36">F98/C98*100</f>
        <v>-1.5395381385584324</v>
      </c>
      <c r="H98" s="316">
        <f t="shared" ref="H98:H109" si="37">E98-D98</f>
        <v>-322</v>
      </c>
      <c r="I98" s="316">
        <f t="shared" ref="I98:I109" si="38">H98/D98*100</f>
        <v>-18.623481781376519</v>
      </c>
    </row>
    <row r="99" spans="2:9" ht="15.6">
      <c r="B99" s="321" t="s">
        <v>156</v>
      </c>
      <c r="C99" s="317">
        <v>1</v>
      </c>
      <c r="D99" s="317">
        <v>1</v>
      </c>
      <c r="E99" s="317">
        <v>1</v>
      </c>
      <c r="F99" s="318">
        <f t="shared" si="35"/>
        <v>0</v>
      </c>
      <c r="G99" s="318">
        <f t="shared" si="36"/>
        <v>0</v>
      </c>
      <c r="H99" s="318">
        <f t="shared" si="37"/>
        <v>0</v>
      </c>
      <c r="I99" s="318">
        <f t="shared" si="38"/>
        <v>0</v>
      </c>
    </row>
    <row r="100" spans="2:9" ht="31.2">
      <c r="B100" s="321" t="s">
        <v>155</v>
      </c>
      <c r="C100" s="317">
        <v>231</v>
      </c>
      <c r="D100" s="317">
        <v>265</v>
      </c>
      <c r="E100" s="317">
        <v>243</v>
      </c>
      <c r="F100" s="318">
        <f t="shared" si="35"/>
        <v>12</v>
      </c>
      <c r="G100" s="318">
        <f t="shared" si="36"/>
        <v>5.1948051948051948</v>
      </c>
      <c r="H100" s="318">
        <f t="shared" si="37"/>
        <v>-22</v>
      </c>
      <c r="I100" s="318">
        <f t="shared" si="38"/>
        <v>-8.3018867924528301</v>
      </c>
    </row>
    <row r="101" spans="2:9" ht="15.6">
      <c r="B101" s="321" t="s">
        <v>157</v>
      </c>
      <c r="C101" s="317">
        <v>1197</v>
      </c>
      <c r="D101" s="317">
        <v>1463</v>
      </c>
      <c r="E101" s="317">
        <v>1163</v>
      </c>
      <c r="F101" s="318">
        <f t="shared" si="35"/>
        <v>-34</v>
      </c>
      <c r="G101" s="318">
        <f t="shared" si="36"/>
        <v>-2.8404344193817876</v>
      </c>
      <c r="H101" s="318">
        <f t="shared" si="37"/>
        <v>-300</v>
      </c>
      <c r="I101" s="318">
        <f t="shared" si="38"/>
        <v>-20.505809979494192</v>
      </c>
    </row>
    <row r="102" spans="2:9" ht="31.2">
      <c r="B102" s="208" t="s">
        <v>681</v>
      </c>
      <c r="C102" s="315">
        <f>SUM(C103:C105)</f>
        <v>295325</v>
      </c>
      <c r="D102" s="315">
        <f t="shared" ref="D102:E102" si="39">SUM(D103:D105)</f>
        <v>408816</v>
      </c>
      <c r="E102" s="315">
        <f t="shared" si="39"/>
        <v>365924</v>
      </c>
      <c r="F102" s="316">
        <f t="shared" si="35"/>
        <v>70599</v>
      </c>
      <c r="G102" s="316">
        <f t="shared" si="36"/>
        <v>23.905527808346736</v>
      </c>
      <c r="H102" s="316">
        <f t="shared" si="37"/>
        <v>-42892</v>
      </c>
      <c r="I102" s="316">
        <f t="shared" si="38"/>
        <v>-10.491761574889438</v>
      </c>
    </row>
    <row r="103" spans="2:9" ht="15.6">
      <c r="B103" s="321" t="s">
        <v>156</v>
      </c>
      <c r="C103" s="317">
        <v>1686</v>
      </c>
      <c r="D103" s="317">
        <v>1793</v>
      </c>
      <c r="E103" s="317">
        <v>1146</v>
      </c>
      <c r="F103" s="318">
        <f t="shared" si="35"/>
        <v>-540</v>
      </c>
      <c r="G103" s="318">
        <f t="shared" si="36"/>
        <v>-32.028469750889684</v>
      </c>
      <c r="H103" s="318">
        <f t="shared" si="37"/>
        <v>-647</v>
      </c>
      <c r="I103" s="318">
        <f t="shared" si="38"/>
        <v>-36.084774121583941</v>
      </c>
    </row>
    <row r="104" spans="2:9" ht="31.2">
      <c r="B104" s="321" t="s">
        <v>155</v>
      </c>
      <c r="C104" s="317">
        <v>63523</v>
      </c>
      <c r="D104" s="317">
        <v>88136</v>
      </c>
      <c r="E104" s="317">
        <v>80908</v>
      </c>
      <c r="F104" s="318">
        <f t="shared" si="35"/>
        <v>17385</v>
      </c>
      <c r="G104" s="318">
        <f t="shared" si="36"/>
        <v>27.368039922547737</v>
      </c>
      <c r="H104" s="318">
        <f t="shared" si="37"/>
        <v>-7228</v>
      </c>
      <c r="I104" s="318">
        <f t="shared" si="38"/>
        <v>-8.2009621494054645</v>
      </c>
    </row>
    <row r="105" spans="2:9" ht="15.6">
      <c r="B105" s="321" t="s">
        <v>157</v>
      </c>
      <c r="C105" s="317">
        <v>230116</v>
      </c>
      <c r="D105" s="317">
        <v>318887</v>
      </c>
      <c r="E105" s="317">
        <v>283870</v>
      </c>
      <c r="F105" s="318">
        <f t="shared" si="35"/>
        <v>53754</v>
      </c>
      <c r="G105" s="318">
        <f t="shared" si="36"/>
        <v>23.359523023170922</v>
      </c>
      <c r="H105" s="318">
        <f t="shared" si="37"/>
        <v>-35017</v>
      </c>
      <c r="I105" s="318">
        <f t="shared" si="38"/>
        <v>-10.981005810835812</v>
      </c>
    </row>
    <row r="106" spans="2:9" ht="46.8">
      <c r="B106" s="208" t="s">
        <v>682</v>
      </c>
      <c r="C106" s="315">
        <f t="shared" ref="C106:E109" si="40">C102/C98/12*1000</f>
        <v>17222.12502915792</v>
      </c>
      <c r="D106" s="315">
        <f t="shared" si="40"/>
        <v>19703.875072296123</v>
      </c>
      <c r="E106" s="315">
        <f t="shared" si="40"/>
        <v>21672.826344468136</v>
      </c>
      <c r="F106" s="315">
        <f>E106-C106</f>
        <v>4450.7013153102162</v>
      </c>
      <c r="G106" s="316">
        <f t="shared" si="36"/>
        <v>25.842927674575328</v>
      </c>
      <c r="H106" s="315">
        <f t="shared" si="37"/>
        <v>1968.951272172013</v>
      </c>
      <c r="I106" s="316">
        <f t="shared" si="38"/>
        <v>9.9927109005090138</v>
      </c>
    </row>
    <row r="107" spans="2:9" ht="15.6">
      <c r="B107" s="321" t="s">
        <v>156</v>
      </c>
      <c r="C107" s="317">
        <f t="shared" si="40"/>
        <v>140500</v>
      </c>
      <c r="D107" s="317">
        <f t="shared" si="40"/>
        <v>149416.66666666666</v>
      </c>
      <c r="E107" s="317">
        <f t="shared" si="40"/>
        <v>95500</v>
      </c>
      <c r="F107" s="318">
        <f>E107-C107</f>
        <v>-45000</v>
      </c>
      <c r="G107" s="318">
        <f t="shared" si="36"/>
        <v>-32.028469750889684</v>
      </c>
      <c r="H107" s="317">
        <f>E107-D107</f>
        <v>-53916.666666666657</v>
      </c>
      <c r="I107" s="318">
        <f t="shared" si="38"/>
        <v>-36.084774121583933</v>
      </c>
    </row>
    <row r="108" spans="2:9" ht="31.2">
      <c r="B108" s="321" t="s">
        <v>155</v>
      </c>
      <c r="C108" s="317">
        <f t="shared" si="40"/>
        <v>22915.945165945162</v>
      </c>
      <c r="D108" s="317">
        <f t="shared" si="40"/>
        <v>27715.723270440249</v>
      </c>
      <c r="E108" s="317">
        <f t="shared" si="40"/>
        <v>27746.227709190673</v>
      </c>
      <c r="F108" s="318">
        <f t="shared" si="35"/>
        <v>4830.2825432455102</v>
      </c>
      <c r="G108" s="318">
        <f t="shared" si="36"/>
        <v>21.078260173286143</v>
      </c>
      <c r="H108" s="317">
        <f t="shared" si="37"/>
        <v>30.504438750424015</v>
      </c>
      <c r="I108" s="318">
        <f t="shared" si="38"/>
        <v>0.11006185352903283</v>
      </c>
    </row>
    <row r="109" spans="2:9" ht="15.6">
      <c r="B109" s="321" t="s">
        <v>157</v>
      </c>
      <c r="C109" s="317">
        <f t="shared" si="40"/>
        <v>16020.328599275967</v>
      </c>
      <c r="D109" s="317">
        <f t="shared" si="40"/>
        <v>18163.989519252678</v>
      </c>
      <c r="E109" s="317">
        <f t="shared" si="40"/>
        <v>20340.355402694182</v>
      </c>
      <c r="F109" s="318">
        <f t="shared" si="35"/>
        <v>4320.0268034182154</v>
      </c>
      <c r="G109" s="318">
        <f t="shared" si="36"/>
        <v>26.965906327373695</v>
      </c>
      <c r="H109" s="317">
        <f t="shared" si="37"/>
        <v>2176.3658834415037</v>
      </c>
      <c r="I109" s="318">
        <f t="shared" si="38"/>
        <v>11.981761391872054</v>
      </c>
    </row>
  </sheetData>
  <mergeCells count="41">
    <mergeCell ref="B93:I93"/>
    <mergeCell ref="B95:B97"/>
    <mergeCell ref="C95:C97"/>
    <mergeCell ref="D95:D97"/>
    <mergeCell ref="E95:E97"/>
    <mergeCell ref="F95:I95"/>
    <mergeCell ref="F96:G96"/>
    <mergeCell ref="H96:I96"/>
    <mergeCell ref="B79:I79"/>
    <mergeCell ref="B82:B84"/>
    <mergeCell ref="C82:C84"/>
    <mergeCell ref="D82:D84"/>
    <mergeCell ref="E82:E84"/>
    <mergeCell ref="F82:I82"/>
    <mergeCell ref="F83:G83"/>
    <mergeCell ref="H83:I83"/>
    <mergeCell ref="B61:I61"/>
    <mergeCell ref="B62:I62"/>
    <mergeCell ref="B65:B67"/>
    <mergeCell ref="C65:C67"/>
    <mergeCell ref="D65:D67"/>
    <mergeCell ref="E65:E67"/>
    <mergeCell ref="F65:I65"/>
    <mergeCell ref="F66:G66"/>
    <mergeCell ref="H66:I66"/>
    <mergeCell ref="B47:I47"/>
    <mergeCell ref="B49:B51"/>
    <mergeCell ref="C49:C51"/>
    <mergeCell ref="D49:D51"/>
    <mergeCell ref="E49:E51"/>
    <mergeCell ref="F49:I49"/>
    <mergeCell ref="F50:G50"/>
    <mergeCell ref="H50:I50"/>
    <mergeCell ref="B5:I5"/>
    <mergeCell ref="B6:B8"/>
    <mergeCell ref="C6:C8"/>
    <mergeCell ref="D6:D8"/>
    <mergeCell ref="E6:E8"/>
    <mergeCell ref="F6:I6"/>
    <mergeCell ref="F7:G7"/>
    <mergeCell ref="H7:I7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4"/>
  <sheetViews>
    <sheetView view="pageBreakPreview" zoomScale="65" zoomScaleNormal="75" zoomScaleSheetLayoutView="65" workbookViewId="0">
      <pane xSplit="1" ySplit="5" topLeftCell="B18" activePane="bottomRight" state="frozen"/>
      <selection pane="topRight" activeCell="B1" sqref="B1"/>
      <selection pane="bottomLeft" activeCell="A6" sqref="A6"/>
      <selection pane="bottomRight" activeCell="B20" sqref="B19:B20"/>
    </sheetView>
  </sheetViews>
  <sheetFormatPr defaultColWidth="9.109375" defaultRowHeight="13.2"/>
  <cols>
    <col min="1" max="1" width="95" style="12" customWidth="1"/>
    <col min="2" max="2" width="19.44140625" style="12" customWidth="1"/>
    <col min="3" max="7" width="26" style="12" customWidth="1"/>
    <col min="8" max="8" width="71" style="12" customWidth="1"/>
    <col min="9" max="9" width="9.5546875" style="12" customWidth="1"/>
    <col min="10" max="10" width="9.109375" style="12" customWidth="1"/>
    <col min="11" max="11" width="27.109375" style="12" customWidth="1"/>
    <col min="12" max="16384" width="9.109375" style="12"/>
  </cols>
  <sheetData>
    <row r="1" spans="1:8" ht="24.75" customHeight="1">
      <c r="A1" s="346"/>
      <c r="B1" s="346"/>
      <c r="C1" s="346"/>
      <c r="D1" s="346"/>
      <c r="E1" s="346"/>
      <c r="F1" s="346"/>
      <c r="G1" s="346"/>
      <c r="H1" s="313" t="s">
        <v>343</v>
      </c>
    </row>
    <row r="2" spans="1:8" ht="41.25" customHeight="1">
      <c r="A2" s="463" t="s">
        <v>126</v>
      </c>
      <c r="B2" s="463"/>
      <c r="C2" s="463"/>
      <c r="D2" s="463"/>
      <c r="E2" s="463"/>
      <c r="F2" s="463"/>
      <c r="G2" s="463"/>
      <c r="H2" s="463"/>
    </row>
    <row r="3" spans="1:8" ht="49.5" customHeight="1">
      <c r="A3" s="464" t="s">
        <v>152</v>
      </c>
      <c r="B3" s="464" t="s">
        <v>0</v>
      </c>
      <c r="C3" s="464" t="s">
        <v>76</v>
      </c>
      <c r="D3" s="466" t="s">
        <v>376</v>
      </c>
      <c r="E3" s="466"/>
      <c r="F3" s="466" t="s">
        <v>695</v>
      </c>
      <c r="G3" s="466"/>
      <c r="H3" s="464" t="s">
        <v>169</v>
      </c>
    </row>
    <row r="4" spans="1:8" ht="63" customHeight="1">
      <c r="A4" s="465"/>
      <c r="B4" s="465"/>
      <c r="C4" s="465"/>
      <c r="D4" s="304" t="s">
        <v>705</v>
      </c>
      <c r="E4" s="304" t="s">
        <v>698</v>
      </c>
      <c r="F4" s="304" t="s">
        <v>138</v>
      </c>
      <c r="G4" s="304" t="s">
        <v>139</v>
      </c>
      <c r="H4" s="465"/>
    </row>
    <row r="5" spans="1:8" s="347" customFormat="1" ht="29.25" customHeight="1">
      <c r="A5" s="7">
        <v>1</v>
      </c>
      <c r="B5" s="7">
        <v>2</v>
      </c>
      <c r="C5" s="7">
        <v>3</v>
      </c>
      <c r="D5" s="7">
        <v>4</v>
      </c>
      <c r="E5" s="7">
        <v>5</v>
      </c>
      <c r="F5" s="7">
        <v>6</v>
      </c>
      <c r="G5" s="7">
        <v>7</v>
      </c>
      <c r="H5" s="7">
        <v>8</v>
      </c>
    </row>
    <row r="6" spans="1:8" s="347" customFormat="1" ht="36" customHeight="1">
      <c r="A6" s="54" t="s">
        <v>114</v>
      </c>
      <c r="B6" s="8"/>
      <c r="C6" s="7"/>
      <c r="D6" s="7"/>
      <c r="E6" s="7"/>
      <c r="F6" s="7"/>
      <c r="G6" s="7"/>
      <c r="H6" s="7"/>
    </row>
    <row r="7" spans="1:8" ht="69.75" customHeight="1">
      <c r="A7" s="303" t="s">
        <v>318</v>
      </c>
      <c r="B7" s="304">
        <v>5000</v>
      </c>
      <c r="C7" s="9" t="s">
        <v>176</v>
      </c>
      <c r="D7" s="89">
        <f>IF('Осн. фін. пок.'!C25=0,0,'Осн. фін. пок.'!C27/'Осн. фін. пок.'!C25*100)</f>
        <v>-439.38690870769807</v>
      </c>
      <c r="E7" s="89">
        <f>IF('Осн. фін. пок.'!D25=0,0,'Осн. фін. пок.'!D27/'Осн. фін. пок.'!D25*100)</f>
        <v>-99.114445779336378</v>
      </c>
      <c r="F7" s="89">
        <f>IF('Осн. фін. пок.'!E25=0,0,'Осн. фін. пок.'!E27/'Осн. фін. пок.'!E25*100)</f>
        <v>-213.07095972556115</v>
      </c>
      <c r="G7" s="89">
        <f>IF('Осн. фін. пок.'!F25=0,0,'Осн. фін. пок.'!F27/'Осн. фін. пок.'!F25*100)</f>
        <v>-99.114445779336378</v>
      </c>
      <c r="H7" s="10"/>
    </row>
    <row r="8" spans="1:8" ht="69.75" customHeight="1">
      <c r="A8" s="303" t="s">
        <v>319</v>
      </c>
      <c r="B8" s="304">
        <v>5010</v>
      </c>
      <c r="C8" s="9" t="s">
        <v>176</v>
      </c>
      <c r="D8" s="89">
        <f>IF('Осн. фін. пок.'!C25=0,0,'Осн. фін. пок.'!C33/'Осн. фін. пок.'!C25*100)</f>
        <v>24.894192035082352</v>
      </c>
      <c r="E8" s="89">
        <f>IF('Осн. фін. пок.'!D25=0,0,'Осн. фін. пок.'!D33/'Осн. фін. пок.'!D25*100)</f>
        <v>2.123332061058925</v>
      </c>
      <c r="F8" s="89">
        <f>IF('Осн. фін. пок.'!E25=0,0,'Осн. фін. пок.'!E33/'Осн. фін. пок.'!E25*100)</f>
        <v>10.615596553307583</v>
      </c>
      <c r="G8" s="89">
        <f>IF('Осн. фін. пок.'!F25=0,0,'Осн. фін. пок.'!F33/'Осн. фін. пок.'!F25*100)</f>
        <v>2.123332061058925</v>
      </c>
      <c r="H8" s="10"/>
    </row>
    <row r="9" spans="1:8" ht="56.25" customHeight="1">
      <c r="A9" s="10" t="s">
        <v>320</v>
      </c>
      <c r="B9" s="304">
        <v>5020</v>
      </c>
      <c r="C9" s="9" t="s">
        <v>176</v>
      </c>
      <c r="D9" s="89">
        <f>IF('Осн. фін. пок.'!C99=0,0,'Осн. фін. пок.'!C46/'Осн. фін. пок.'!C99*100)</f>
        <v>-2.1713123030321571</v>
      </c>
      <c r="E9" s="89">
        <f>IF('Осн. фін. пок.'!D99=0,0,'Осн. фін. пок.'!D46/'Осн. фін. пок.'!D99*100)</f>
        <v>-3.549619755526435</v>
      </c>
      <c r="F9" s="89">
        <f>IF('Осн. фін. пок.'!E99=0,0,'Осн. фін. пок.'!E46/'Осн. фін. пок.'!E99*100)</f>
        <v>0</v>
      </c>
      <c r="G9" s="89">
        <f>IF('Осн. фін. пок.'!F99=0,0,'Осн. фін. пок.'!F46/'Осн. фін. пок.'!F99*100)</f>
        <v>-3.549619755526435</v>
      </c>
      <c r="H9" s="10" t="s">
        <v>177</v>
      </c>
    </row>
    <row r="10" spans="1:8" ht="56.25" customHeight="1">
      <c r="A10" s="10" t="s">
        <v>377</v>
      </c>
      <c r="B10" s="304">
        <v>5030</v>
      </c>
      <c r="C10" s="9" t="s">
        <v>176</v>
      </c>
      <c r="D10" s="89">
        <f>IF('Осн. фін. пок.'!C100=0,0,'Осн. фін. пок.'!C46/'Осн. фін. пок.'!C100*100)</f>
        <v>-3.0688828297811153</v>
      </c>
      <c r="E10" s="89">
        <f>IF('Осн. фін. пок.'!D100=0,0,'Осн. фін. пок.'!D46/'Осн. фін. пок.'!D100*100)</f>
        <v>-3.9735228736459702</v>
      </c>
      <c r="F10" s="89">
        <f>IF('Осн. фін. пок.'!E100=0,0,'Осн. фін. пок.'!E46/'Осн. фін. пок.'!E100*100)</f>
        <v>0</v>
      </c>
      <c r="G10" s="89">
        <f>IF('Осн. фін. пок.'!F100=0,0,'Осн. фін. пок.'!F46/'Осн. фін. пок.'!F100*100)</f>
        <v>-3.9735228736459702</v>
      </c>
      <c r="H10" s="10"/>
    </row>
    <row r="11" spans="1:8" ht="69.75" customHeight="1">
      <c r="A11" s="303" t="s">
        <v>321</v>
      </c>
      <c r="B11" s="304">
        <v>5040</v>
      </c>
      <c r="C11" s="9" t="s">
        <v>176</v>
      </c>
      <c r="D11" s="89">
        <f>IF('Осн. фін. пок.'!C25=0,0,'Осн. фін. пок.'!C46/'Осн. фін. пок.'!C25*100)</f>
        <v>-12.062108000611902</v>
      </c>
      <c r="E11" s="89">
        <f>IF('Осн. фін. пок.'!D25=0,0,'Осн. фін. пок.'!D46/'Осн. фін. пок.'!D25*100)</f>
        <v>-6.7721715162522385</v>
      </c>
      <c r="F11" s="89">
        <f>IF('Осн. фін. пок.'!E25=0,0,'Осн. фін. пок.'!E46/'Осн. фін. пок.'!E25*100)</f>
        <v>0</v>
      </c>
      <c r="G11" s="89">
        <f>IF('Осн. фін. пок.'!F25=0,0,'Осн. фін. пок.'!F46/'Осн. фін. пок.'!F25*100)</f>
        <v>-6.7721715162522385</v>
      </c>
      <c r="H11" s="10" t="s">
        <v>178</v>
      </c>
    </row>
    <row r="12" spans="1:8" s="347" customFormat="1" ht="36" customHeight="1">
      <c r="A12" s="54" t="s">
        <v>116</v>
      </c>
      <c r="B12" s="8"/>
      <c r="C12" s="7"/>
      <c r="D12" s="89"/>
      <c r="E12" s="89"/>
      <c r="F12" s="89"/>
      <c r="G12" s="89"/>
      <c r="H12" s="7"/>
    </row>
    <row r="13" spans="1:8" ht="69.75" customHeight="1">
      <c r="A13" s="303" t="s">
        <v>378</v>
      </c>
      <c r="B13" s="304">
        <v>5100</v>
      </c>
      <c r="C13" s="9"/>
      <c r="D13" s="89">
        <f>IF('Осн. фін. пок.'!C33=0,0,('Осн. фін. пок.'!C101+'Осн. фін. пок.'!C102)/'Осн. фін. пок.'!C33)</f>
        <v>6.5266625699849792</v>
      </c>
      <c r="E13" s="89">
        <f>IF('Осн. фін. пок.'!D33=0,0,('Осн. фін. пок.'!D101+'Осн. фін. пок.'!D102)/'Осн. фін. пок.'!D33)</f>
        <v>9.5855953673543244</v>
      </c>
      <c r="F13" s="89">
        <f>IF('Осн. фін. пок.'!E33=0,0,('Осн. фін. пок.'!E101+'Осн. фін. пок.'!E102)/'Осн. фін. пок.'!E33)</f>
        <v>3.4843511450381679</v>
      </c>
      <c r="G13" s="89">
        <f>IF('Осн. фін. пок.'!F33=0,0,('Осн. фін. пок.'!F101+'Осн. фін. пок.'!F102)/'Осн. фін. пок.'!F33)</f>
        <v>9.5855953673543244</v>
      </c>
      <c r="H13" s="10"/>
    </row>
    <row r="14" spans="1:8" ht="69.75" customHeight="1">
      <c r="A14" s="303" t="s">
        <v>379</v>
      </c>
      <c r="B14" s="304">
        <v>5110</v>
      </c>
      <c r="C14" s="9" t="s">
        <v>111</v>
      </c>
      <c r="D14" s="89">
        <f>IF(('Осн. фін. пок.'!C101+'Осн. фін. пок.'!C102)=0,0,'Осн. фін. пок.'!C100/('Осн. фін. пок.'!C101+'Осн. фін. пок.'!C102))</f>
        <v>2.4190993780697672</v>
      </c>
      <c r="E14" s="89">
        <f>IF(('Осн. фін. пок.'!D101+'Осн. фін. пок.'!D102)=0,0,'Осн. фін. пок.'!D100/('Осн. фін. пок.'!D101+'Осн. фін. пок.'!D102))</f>
        <v>8.3736580454345226</v>
      </c>
      <c r="F14" s="89">
        <f>IF(('Осн. фін. пок.'!E101+'Осн. фін. пок.'!E102)=0,0,'Осн. фін. пок.'!E100/('Осн. фін. пок.'!E101+'Осн. фін. пок.'!E102))</f>
        <v>4.5087304195421183</v>
      </c>
      <c r="G14" s="89">
        <f>IF(('Осн. фін. пок.'!F101+'Осн. фін. пок.'!F102)=0,0,'Осн. фін. пок.'!F100/('Осн. фін. пок.'!F101+'Осн. фін. пок.'!F102))</f>
        <v>8.3736580454345226</v>
      </c>
      <c r="H14" s="10" t="s">
        <v>179</v>
      </c>
    </row>
    <row r="15" spans="1:8" ht="56.25" customHeight="1">
      <c r="A15" s="10" t="s">
        <v>380</v>
      </c>
      <c r="B15" s="304">
        <v>5120</v>
      </c>
      <c r="C15" s="9" t="s">
        <v>111</v>
      </c>
      <c r="D15" s="89">
        <f>IF('Осн. фін. пок.'!C102=0,0,'Осн. фін. пок.'!C97/'Осн. фін. пок.'!C102)</f>
        <v>1.1739207758174277</v>
      </c>
      <c r="E15" s="89">
        <f>IF('Осн. фін. пок.'!D102=0,0,'Осн. фін. пок.'!D97/'Осн. фін. пок.'!D102)</f>
        <v>1.8007048014599458</v>
      </c>
      <c r="F15" s="89">
        <f>IF('Осн. фін. пок.'!E102=0,0,'Осн. фін. пок.'!E97/'Осн. фін. пок.'!E102)</f>
        <v>1.2578084492642494</v>
      </c>
      <c r="G15" s="89">
        <f>IF('Осн. фін. пок.'!F102=0,0,'Осн. фін. пок.'!F97/'Осн. фін. пок.'!F102)</f>
        <v>1.8007048014599458</v>
      </c>
      <c r="H15" s="10" t="s">
        <v>181</v>
      </c>
    </row>
    <row r="16" spans="1:8" s="347" customFormat="1" ht="36" customHeight="1">
      <c r="A16" s="54" t="s">
        <v>115</v>
      </c>
      <c r="B16" s="8"/>
      <c r="C16" s="7"/>
      <c r="D16" s="89"/>
      <c r="E16" s="89"/>
      <c r="F16" s="89"/>
      <c r="G16" s="89"/>
      <c r="H16" s="7"/>
    </row>
    <row r="17" spans="1:11" ht="49.5" customHeight="1">
      <c r="A17" s="10" t="s">
        <v>306</v>
      </c>
      <c r="B17" s="304">
        <v>5200</v>
      </c>
      <c r="C17" s="9"/>
      <c r="D17" s="89">
        <f>IF('Осн. фін. пок.'!C56=0,0,'Осн. фін. пок.'!C74/'Осн. фін. пок.'!C56)</f>
        <v>0.54338520919415101</v>
      </c>
      <c r="E17" s="89">
        <f>IF('Осн. фін. пок.'!D56=0,0,'Осн. фін. пок.'!D74/'Осн. фін. пок.'!D56)</f>
        <v>2.3236569159711529</v>
      </c>
      <c r="F17" s="89">
        <f>IF('Осн. фін. пок.'!E56=0,0,'Осн. фін. пок.'!E74/'Осн. фін. пок.'!E56)</f>
        <v>4.1774210993099565</v>
      </c>
      <c r="G17" s="89">
        <f>IF('Осн. фін. пок.'!F56=0,0,'Осн. фін. пок.'!F74/'Осн. фін. пок.'!F56)</f>
        <v>2.3236569159711529</v>
      </c>
      <c r="H17" s="10"/>
    </row>
    <row r="18" spans="1:11" ht="92.25" customHeight="1">
      <c r="A18" s="10" t="s">
        <v>307</v>
      </c>
      <c r="B18" s="304">
        <v>5210</v>
      </c>
      <c r="C18" s="9"/>
      <c r="D18" s="89">
        <f>IF('Осн. фін. пок.'!C25=0,0,'Осн. фін. пок.'!C74/'Осн. фін. пок.'!C25)</f>
        <v>0.18664694984107558</v>
      </c>
      <c r="E18" s="89">
        <f>IF('Осн. фін. пок.'!D25=0,0,'Осн. фін. пок.'!D74/'Осн. фін. пок.'!D25)</f>
        <v>0.2938313476459935</v>
      </c>
      <c r="F18" s="89">
        <f>IF('Осн. фін. пок.'!E25=0,0,'Осн. фін. пок.'!E74/'Осн. фін. пок.'!E25)</f>
        <v>0.52164447205640041</v>
      </c>
      <c r="G18" s="89">
        <f>IF('Осн. фін. пок.'!F25=0,0,'Осн. фін. пок.'!F74/'Осн. фін. пок.'!F25)</f>
        <v>0.2938313476459935</v>
      </c>
      <c r="H18" s="10"/>
    </row>
    <row r="19" spans="1:11" ht="57" customHeight="1">
      <c r="A19" s="10" t="s">
        <v>308</v>
      </c>
      <c r="B19" s="304">
        <v>5220</v>
      </c>
      <c r="C19" s="9" t="s">
        <v>264</v>
      </c>
      <c r="D19" s="89">
        <f>IF('Осн. фін. пок.'!C95=0,0,'Осн. фін. пок.'!C96/'Осн. фін. пок.'!C95)</f>
        <v>0.38368115518478174</v>
      </c>
      <c r="E19" s="89">
        <f>IF('Осн. фін. пок.'!D95=0,0,'Осн. фін. пок.'!D96/'Осн. фін. пок.'!D95)</f>
        <v>0.37511956147695341</v>
      </c>
      <c r="F19" s="89">
        <f>IF('Осн. фін. пок.'!E95=0,0,'Осн. фін. пок.'!E96/'Осн. фін. пок.'!E95)</f>
        <v>0.39413870182785354</v>
      </c>
      <c r="G19" s="89">
        <f>IF('Осн. фін. пок.'!F95=0,0,'Осн. фін. пок.'!F96/'Осн. фін. пок.'!F95)</f>
        <v>0.37511956147695341</v>
      </c>
      <c r="H19" s="10" t="s">
        <v>180</v>
      </c>
    </row>
    <row r="20" spans="1:11" ht="44.25" customHeight="1">
      <c r="A20" s="54" t="s">
        <v>172</v>
      </c>
      <c r="B20" s="304"/>
      <c r="C20" s="9"/>
      <c r="D20" s="89"/>
      <c r="E20" s="89"/>
      <c r="F20" s="89"/>
      <c r="G20" s="89"/>
      <c r="H20" s="10"/>
    </row>
    <row r="21" spans="1:11" ht="81.75" customHeight="1">
      <c r="A21" s="10" t="s">
        <v>183</v>
      </c>
      <c r="B21" s="304">
        <v>5300</v>
      </c>
      <c r="C21" s="9"/>
      <c r="D21" s="89"/>
      <c r="E21" s="89"/>
      <c r="F21" s="89"/>
      <c r="G21" s="89"/>
      <c r="H21" s="11"/>
    </row>
    <row r="22" spans="1:11" ht="100.8" customHeight="1">
      <c r="K22" s="348"/>
    </row>
    <row r="23" spans="1:11" s="52" customFormat="1" ht="27.6" customHeight="1">
      <c r="A23" s="405" t="s">
        <v>523</v>
      </c>
      <c r="B23" s="405"/>
      <c r="C23" s="462" t="s">
        <v>420</v>
      </c>
      <c r="D23" s="462"/>
      <c r="E23" s="462"/>
      <c r="F23" s="460" t="s">
        <v>524</v>
      </c>
      <c r="G23" s="460"/>
      <c r="H23" s="309"/>
      <c r="I23" s="299"/>
    </row>
    <row r="24" spans="1:11" s="116" customFormat="1" ht="15.6">
      <c r="A24" s="289"/>
      <c r="C24" s="420"/>
      <c r="D24" s="420"/>
      <c r="F24" s="420"/>
      <c r="G24" s="420"/>
      <c r="H24" s="420"/>
    </row>
  </sheetData>
  <mergeCells count="12">
    <mergeCell ref="C24:D24"/>
    <mergeCell ref="F24:H24"/>
    <mergeCell ref="A2:H2"/>
    <mergeCell ref="A3:A4"/>
    <mergeCell ref="B3:B4"/>
    <mergeCell ref="C3:C4"/>
    <mergeCell ref="D3:E3"/>
    <mergeCell ref="F3:G3"/>
    <mergeCell ref="H3:H4"/>
    <mergeCell ref="A23:B23"/>
    <mergeCell ref="C23:E23"/>
    <mergeCell ref="F23:G23"/>
  </mergeCells>
  <phoneticPr fontId="3" type="noConversion"/>
  <printOptions horizontalCentered="1"/>
  <pageMargins left="0.59055118110236227" right="0.59055118110236227" top="0.98425196850393704" bottom="0.59055118110236227" header="0" footer="0"/>
  <pageSetup paperSize="9" scale="39" orientation="landscape" blackAndWhite="1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9"/>
  <sheetViews>
    <sheetView view="pageBreakPreview" topLeftCell="A7" zoomScale="40" zoomScaleNormal="60" zoomScaleSheetLayoutView="40" workbookViewId="0">
      <selection activeCell="I19" sqref="I19:K21"/>
    </sheetView>
  </sheetViews>
  <sheetFormatPr defaultColWidth="9.109375" defaultRowHeight="18"/>
  <cols>
    <col min="1" max="1" width="44.88671875" style="305" customWidth="1"/>
    <col min="2" max="2" width="19.33203125" style="16" customWidth="1"/>
    <col min="3" max="3" width="15.88671875" style="305" customWidth="1"/>
    <col min="4" max="4" width="16.109375" style="305" customWidth="1"/>
    <col min="5" max="5" width="15.44140625" style="305" customWidth="1"/>
    <col min="6" max="6" width="16.5546875" style="305" customWidth="1"/>
    <col min="7" max="7" width="15.33203125" style="305" customWidth="1"/>
    <col min="8" max="8" width="16.5546875" style="305" customWidth="1"/>
    <col min="9" max="9" width="16.109375" style="305" customWidth="1"/>
    <col min="10" max="10" width="16.44140625" style="305" customWidth="1"/>
    <col min="11" max="11" width="16.5546875" style="305" customWidth="1"/>
    <col min="12" max="12" width="16.88671875" style="305" customWidth="1"/>
    <col min="13" max="15" width="16.6640625" style="305" customWidth="1"/>
    <col min="16" max="16384" width="9.109375" style="305"/>
  </cols>
  <sheetData>
    <row r="1" spans="1:15" ht="20.399999999999999">
      <c r="O1" s="313" t="s">
        <v>344</v>
      </c>
    </row>
    <row r="2" spans="1:15" ht="24.75" customHeight="1">
      <c r="A2" s="388" t="s">
        <v>90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</row>
    <row r="3" spans="1:15" ht="37.5" customHeight="1">
      <c r="A3" s="461" t="s">
        <v>699</v>
      </c>
      <c r="B3" s="388"/>
      <c r="C3" s="388"/>
      <c r="D3" s="388"/>
      <c r="E3" s="388"/>
      <c r="F3" s="388"/>
      <c r="G3" s="388"/>
      <c r="H3" s="388"/>
      <c r="I3" s="388"/>
      <c r="J3" s="388"/>
      <c r="K3" s="388"/>
      <c r="L3" s="388"/>
      <c r="M3" s="388"/>
      <c r="N3" s="388"/>
      <c r="O3" s="388"/>
    </row>
    <row r="4" spans="1:15" ht="24.75" customHeight="1">
      <c r="A4" s="388" t="s">
        <v>616</v>
      </c>
      <c r="B4" s="388"/>
      <c r="C4" s="388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  <c r="O4" s="388"/>
    </row>
    <row r="5" spans="1:15" ht="21">
      <c r="A5" s="460"/>
      <c r="B5" s="460"/>
      <c r="C5" s="460"/>
      <c r="D5" s="460"/>
      <c r="E5" s="460"/>
      <c r="F5" s="460"/>
      <c r="G5" s="460"/>
      <c r="H5" s="460"/>
      <c r="I5" s="460"/>
      <c r="J5" s="460"/>
      <c r="K5" s="460"/>
      <c r="L5" s="460"/>
      <c r="M5" s="460"/>
      <c r="N5" s="460"/>
      <c r="O5" s="460"/>
    </row>
    <row r="6" spans="1:15" ht="41.25" customHeight="1">
      <c r="A6" s="502" t="s">
        <v>218</v>
      </c>
      <c r="B6" s="502"/>
      <c r="C6" s="502"/>
      <c r="D6" s="502"/>
      <c r="E6" s="502"/>
      <c r="F6" s="502"/>
      <c r="G6" s="502"/>
      <c r="H6" s="502"/>
      <c r="I6" s="502"/>
      <c r="J6" s="502"/>
      <c r="K6" s="502"/>
      <c r="L6" s="502"/>
      <c r="M6" s="502"/>
      <c r="N6" s="502"/>
      <c r="O6" s="502"/>
    </row>
    <row r="7" spans="1:15" ht="35.4" customHeight="1">
      <c r="A7" s="506" t="s">
        <v>170</v>
      </c>
      <c r="B7" s="506"/>
      <c r="C7" s="506"/>
      <c r="D7" s="506"/>
      <c r="E7" s="506"/>
      <c r="F7" s="506"/>
      <c r="G7" s="506"/>
      <c r="H7" s="506"/>
      <c r="I7" s="506"/>
      <c r="J7" s="506"/>
      <c r="K7" s="506"/>
      <c r="L7" s="506"/>
      <c r="M7" s="506"/>
      <c r="N7" s="506"/>
      <c r="O7" s="506"/>
    </row>
    <row r="8" spans="1:15" ht="74.25" customHeight="1">
      <c r="A8" s="389" t="s">
        <v>152</v>
      </c>
      <c r="B8" s="389"/>
      <c r="C8" s="495" t="s">
        <v>714</v>
      </c>
      <c r="D8" s="495"/>
      <c r="E8" s="494"/>
      <c r="F8" s="493" t="s">
        <v>715</v>
      </c>
      <c r="G8" s="495"/>
      <c r="H8" s="494"/>
      <c r="I8" s="389" t="s">
        <v>716</v>
      </c>
      <c r="J8" s="389"/>
      <c r="K8" s="389"/>
      <c r="L8" s="389" t="s">
        <v>405</v>
      </c>
      <c r="M8" s="389"/>
      <c r="N8" s="493" t="s">
        <v>406</v>
      </c>
      <c r="O8" s="494"/>
    </row>
    <row r="9" spans="1:15" ht="27.75" customHeight="1">
      <c r="A9" s="389">
        <v>1</v>
      </c>
      <c r="B9" s="389"/>
      <c r="C9" s="495">
        <v>2</v>
      </c>
      <c r="D9" s="495"/>
      <c r="E9" s="494"/>
      <c r="F9" s="493">
        <v>3</v>
      </c>
      <c r="G9" s="495"/>
      <c r="H9" s="494"/>
      <c r="I9" s="389">
        <v>4</v>
      </c>
      <c r="J9" s="389"/>
      <c r="K9" s="389"/>
      <c r="L9" s="493">
        <v>5</v>
      </c>
      <c r="M9" s="494"/>
      <c r="N9" s="389">
        <v>6</v>
      </c>
      <c r="O9" s="389"/>
    </row>
    <row r="10" spans="1:15" ht="135.75" customHeight="1">
      <c r="A10" s="409" t="s">
        <v>381</v>
      </c>
      <c r="B10" s="409"/>
      <c r="C10" s="481">
        <f>SUM(C11:E13)</f>
        <v>1429</v>
      </c>
      <c r="D10" s="503"/>
      <c r="E10" s="482"/>
      <c r="F10" s="481">
        <f t="shared" ref="F10" si="0">SUM(F11:H13)</f>
        <v>1729</v>
      </c>
      <c r="G10" s="503"/>
      <c r="H10" s="482"/>
      <c r="I10" s="481">
        <f t="shared" ref="I10" si="1">SUM(I11:K13)</f>
        <v>1407</v>
      </c>
      <c r="J10" s="503"/>
      <c r="K10" s="482"/>
      <c r="L10" s="504">
        <f>I10-F10</f>
        <v>-322</v>
      </c>
      <c r="M10" s="504"/>
      <c r="N10" s="500">
        <f>IF(F10=0,0,I10/F10*100)</f>
        <v>81.376518218623488</v>
      </c>
      <c r="O10" s="501"/>
    </row>
    <row r="11" spans="1:15" ht="33" customHeight="1">
      <c r="A11" s="483" t="s">
        <v>156</v>
      </c>
      <c r="B11" s="483"/>
      <c r="C11" s="469">
        <v>1</v>
      </c>
      <c r="D11" s="478"/>
      <c r="E11" s="470"/>
      <c r="F11" s="469">
        <v>1</v>
      </c>
      <c r="G11" s="478"/>
      <c r="H11" s="470"/>
      <c r="I11" s="469">
        <v>1</v>
      </c>
      <c r="J11" s="478"/>
      <c r="K11" s="470"/>
      <c r="L11" s="496">
        <f t="shared" ref="L11:L25" si="2">I11-F11</f>
        <v>0</v>
      </c>
      <c r="M11" s="496"/>
      <c r="N11" s="490">
        <f t="shared" ref="N11:N25" si="3">IF(F11=0,0,I11/F11*100)</f>
        <v>100</v>
      </c>
      <c r="O11" s="491"/>
    </row>
    <row r="12" spans="1:15" ht="33" customHeight="1">
      <c r="A12" s="483" t="s">
        <v>155</v>
      </c>
      <c r="B12" s="483"/>
      <c r="C12" s="469">
        <v>231</v>
      </c>
      <c r="D12" s="478"/>
      <c r="E12" s="470"/>
      <c r="F12" s="469">
        <v>265</v>
      </c>
      <c r="G12" s="478"/>
      <c r="H12" s="470"/>
      <c r="I12" s="469">
        <v>243</v>
      </c>
      <c r="J12" s="478"/>
      <c r="K12" s="470"/>
      <c r="L12" s="496">
        <f t="shared" si="2"/>
        <v>-22</v>
      </c>
      <c r="M12" s="496"/>
      <c r="N12" s="490">
        <f t="shared" si="3"/>
        <v>91.698113207547166</v>
      </c>
      <c r="O12" s="491"/>
    </row>
    <row r="13" spans="1:15" ht="33" customHeight="1">
      <c r="A13" s="483" t="s">
        <v>157</v>
      </c>
      <c r="B13" s="483"/>
      <c r="C13" s="469">
        <v>1197</v>
      </c>
      <c r="D13" s="478"/>
      <c r="E13" s="470"/>
      <c r="F13" s="469">
        <v>1463</v>
      </c>
      <c r="G13" s="478"/>
      <c r="H13" s="470"/>
      <c r="I13" s="469">
        <v>1163</v>
      </c>
      <c r="J13" s="478"/>
      <c r="K13" s="470"/>
      <c r="L13" s="496">
        <f t="shared" si="2"/>
        <v>-300</v>
      </c>
      <c r="M13" s="496"/>
      <c r="N13" s="490">
        <f t="shared" si="3"/>
        <v>79.494190020505812</v>
      </c>
      <c r="O13" s="491"/>
    </row>
    <row r="14" spans="1:15" ht="44.25" customHeight="1">
      <c r="A14" s="409" t="s">
        <v>309</v>
      </c>
      <c r="B14" s="409"/>
      <c r="C14" s="481">
        <f>SUM(C15:E17)</f>
        <v>287216</v>
      </c>
      <c r="D14" s="503"/>
      <c r="E14" s="482"/>
      <c r="F14" s="481">
        <f t="shared" ref="F14" si="4">SUM(F15:H17)</f>
        <v>408816</v>
      </c>
      <c r="G14" s="503"/>
      <c r="H14" s="482"/>
      <c r="I14" s="481">
        <f t="shared" ref="I14" si="5">SUM(I15:K17)</f>
        <v>355446</v>
      </c>
      <c r="J14" s="503"/>
      <c r="K14" s="482"/>
      <c r="L14" s="504">
        <f t="shared" si="2"/>
        <v>-53370</v>
      </c>
      <c r="M14" s="504"/>
      <c r="N14" s="500">
        <f t="shared" si="3"/>
        <v>86.945227192673485</v>
      </c>
      <c r="O14" s="501"/>
    </row>
    <row r="15" spans="1:15" ht="33" customHeight="1">
      <c r="A15" s="483" t="s">
        <v>156</v>
      </c>
      <c r="B15" s="483"/>
      <c r="C15" s="469">
        <v>1686</v>
      </c>
      <c r="D15" s="478"/>
      <c r="E15" s="470"/>
      <c r="F15" s="469">
        <v>1793</v>
      </c>
      <c r="G15" s="478"/>
      <c r="H15" s="470"/>
      <c r="I15" s="469">
        <v>1146</v>
      </c>
      <c r="J15" s="478"/>
      <c r="K15" s="470"/>
      <c r="L15" s="496">
        <f t="shared" si="2"/>
        <v>-647</v>
      </c>
      <c r="M15" s="496"/>
      <c r="N15" s="490">
        <f t="shared" si="3"/>
        <v>63.915225878416059</v>
      </c>
      <c r="O15" s="491"/>
    </row>
    <row r="16" spans="1:15" ht="33" customHeight="1">
      <c r="A16" s="483" t="s">
        <v>155</v>
      </c>
      <c r="B16" s="483"/>
      <c r="C16" s="469">
        <v>61780</v>
      </c>
      <c r="D16" s="478"/>
      <c r="E16" s="470"/>
      <c r="F16" s="469">
        <v>88136</v>
      </c>
      <c r="G16" s="478"/>
      <c r="H16" s="470"/>
      <c r="I16" s="469">
        <v>78584</v>
      </c>
      <c r="J16" s="478"/>
      <c r="K16" s="470"/>
      <c r="L16" s="496">
        <f t="shared" si="2"/>
        <v>-9552</v>
      </c>
      <c r="M16" s="496"/>
      <c r="N16" s="490">
        <f t="shared" si="3"/>
        <v>89.162203866751383</v>
      </c>
      <c r="O16" s="491"/>
    </row>
    <row r="17" spans="1:25" ht="33" customHeight="1">
      <c r="A17" s="483" t="s">
        <v>157</v>
      </c>
      <c r="B17" s="483"/>
      <c r="C17" s="469">
        <v>223750</v>
      </c>
      <c r="D17" s="478"/>
      <c r="E17" s="470"/>
      <c r="F17" s="469">
        <v>318887</v>
      </c>
      <c r="G17" s="478"/>
      <c r="H17" s="470"/>
      <c r="I17" s="469">
        <v>275716</v>
      </c>
      <c r="J17" s="478"/>
      <c r="K17" s="470"/>
      <c r="L17" s="496">
        <f t="shared" si="2"/>
        <v>-43171</v>
      </c>
      <c r="M17" s="496"/>
      <c r="N17" s="490">
        <f t="shared" si="3"/>
        <v>86.461975558740249</v>
      </c>
      <c r="O17" s="491"/>
    </row>
    <row r="18" spans="1:25" ht="47.25" customHeight="1">
      <c r="A18" s="409" t="s">
        <v>310</v>
      </c>
      <c r="B18" s="409"/>
      <c r="C18" s="481">
        <f>'I. Фін результат'!C91</f>
        <v>295325</v>
      </c>
      <c r="D18" s="503"/>
      <c r="E18" s="482"/>
      <c r="F18" s="481">
        <f>'I. Фін результат'!E91</f>
        <v>408816</v>
      </c>
      <c r="G18" s="503"/>
      <c r="H18" s="482"/>
      <c r="I18" s="481">
        <f>'I. Фін результат'!D91</f>
        <v>365924</v>
      </c>
      <c r="J18" s="503"/>
      <c r="K18" s="482"/>
      <c r="L18" s="504">
        <f t="shared" si="2"/>
        <v>-42892</v>
      </c>
      <c r="M18" s="504"/>
      <c r="N18" s="500">
        <f t="shared" si="3"/>
        <v>89.508238425110562</v>
      </c>
      <c r="O18" s="501"/>
    </row>
    <row r="19" spans="1:25" ht="37.799999999999997" customHeight="1">
      <c r="A19" s="483" t="s">
        <v>156</v>
      </c>
      <c r="B19" s="483"/>
      <c r="C19" s="469">
        <v>1686</v>
      </c>
      <c r="D19" s="478"/>
      <c r="E19" s="470"/>
      <c r="F19" s="469">
        <v>1793</v>
      </c>
      <c r="G19" s="478"/>
      <c r="H19" s="470"/>
      <c r="I19" s="469">
        <v>1146</v>
      </c>
      <c r="J19" s="478"/>
      <c r="K19" s="470"/>
      <c r="L19" s="496">
        <f t="shared" si="2"/>
        <v>-647</v>
      </c>
      <c r="M19" s="496"/>
      <c r="N19" s="490">
        <f t="shared" si="3"/>
        <v>63.915225878416059</v>
      </c>
      <c r="O19" s="491"/>
    </row>
    <row r="20" spans="1:25" ht="38.4" customHeight="1">
      <c r="A20" s="483" t="s">
        <v>155</v>
      </c>
      <c r="B20" s="483"/>
      <c r="C20" s="469">
        <v>63523</v>
      </c>
      <c r="D20" s="478"/>
      <c r="E20" s="470"/>
      <c r="F20" s="469">
        <v>88136</v>
      </c>
      <c r="G20" s="478"/>
      <c r="H20" s="470"/>
      <c r="I20" s="469">
        <v>80908</v>
      </c>
      <c r="J20" s="478"/>
      <c r="K20" s="470"/>
      <c r="L20" s="496">
        <f t="shared" si="2"/>
        <v>-7228</v>
      </c>
      <c r="M20" s="496"/>
      <c r="N20" s="490">
        <f t="shared" si="3"/>
        <v>91.79903785059453</v>
      </c>
      <c r="O20" s="491"/>
    </row>
    <row r="21" spans="1:25" ht="38.4" customHeight="1">
      <c r="A21" s="483" t="s">
        <v>157</v>
      </c>
      <c r="B21" s="483"/>
      <c r="C21" s="469">
        <v>230116</v>
      </c>
      <c r="D21" s="478"/>
      <c r="E21" s="470"/>
      <c r="F21" s="469">
        <v>318887</v>
      </c>
      <c r="G21" s="478"/>
      <c r="H21" s="470"/>
      <c r="I21" s="469">
        <v>283870</v>
      </c>
      <c r="J21" s="478"/>
      <c r="K21" s="470"/>
      <c r="L21" s="496">
        <f t="shared" si="2"/>
        <v>-35017</v>
      </c>
      <c r="M21" s="496"/>
      <c r="N21" s="490">
        <f t="shared" si="3"/>
        <v>89.018994189164189</v>
      </c>
      <c r="O21" s="491"/>
    </row>
    <row r="22" spans="1:25" ht="71.25" customHeight="1">
      <c r="A22" s="409" t="s">
        <v>382</v>
      </c>
      <c r="B22" s="409"/>
      <c r="C22" s="481">
        <f>IF(C10=0,0,ROUND(C18/C10/12*1000,0))</f>
        <v>17222</v>
      </c>
      <c r="D22" s="503"/>
      <c r="E22" s="482"/>
      <c r="F22" s="481">
        <f t="shared" ref="F22:I25" si="6">IF(F10=0,0,ROUND(F18/F10/12*1000,0))</f>
        <v>19704</v>
      </c>
      <c r="G22" s="503"/>
      <c r="H22" s="482"/>
      <c r="I22" s="481">
        <f t="shared" ref="I22" si="7">IF(I10=0,0,ROUND(I18/I10/12*1000,0))</f>
        <v>21673</v>
      </c>
      <c r="J22" s="503"/>
      <c r="K22" s="482"/>
      <c r="L22" s="504">
        <f t="shared" si="2"/>
        <v>1969</v>
      </c>
      <c r="M22" s="504"/>
      <c r="N22" s="500">
        <f t="shared" si="3"/>
        <v>109.99289484368656</v>
      </c>
      <c r="O22" s="501"/>
    </row>
    <row r="23" spans="1:25" ht="40.200000000000003" customHeight="1">
      <c r="A23" s="483" t="s">
        <v>156</v>
      </c>
      <c r="B23" s="483"/>
      <c r="C23" s="469">
        <f t="shared" ref="C23:C25" si="8">IF(C11=0,0,ROUND(C19/C11/12*1000,0))</f>
        <v>140500</v>
      </c>
      <c r="D23" s="478"/>
      <c r="E23" s="470"/>
      <c r="F23" s="469">
        <f t="shared" si="6"/>
        <v>149417</v>
      </c>
      <c r="G23" s="478"/>
      <c r="H23" s="470"/>
      <c r="I23" s="469">
        <f t="shared" si="6"/>
        <v>95500</v>
      </c>
      <c r="J23" s="478"/>
      <c r="K23" s="470"/>
      <c r="L23" s="496">
        <f t="shared" si="2"/>
        <v>-53917</v>
      </c>
      <c r="M23" s="496"/>
      <c r="N23" s="490">
        <f t="shared" si="3"/>
        <v>63.915083290388644</v>
      </c>
      <c r="O23" s="491"/>
    </row>
    <row r="24" spans="1:25" ht="39.6" customHeight="1">
      <c r="A24" s="483" t="s">
        <v>155</v>
      </c>
      <c r="B24" s="483"/>
      <c r="C24" s="469">
        <f t="shared" si="8"/>
        <v>22916</v>
      </c>
      <c r="D24" s="478"/>
      <c r="E24" s="470"/>
      <c r="F24" s="469">
        <f t="shared" si="6"/>
        <v>27716</v>
      </c>
      <c r="G24" s="478"/>
      <c r="H24" s="470"/>
      <c r="I24" s="469">
        <f t="shared" si="6"/>
        <v>27746</v>
      </c>
      <c r="J24" s="478"/>
      <c r="K24" s="470"/>
      <c r="L24" s="496">
        <f t="shared" si="2"/>
        <v>30</v>
      </c>
      <c r="M24" s="496"/>
      <c r="N24" s="490">
        <f t="shared" si="3"/>
        <v>100.10824072737769</v>
      </c>
      <c r="O24" s="491"/>
    </row>
    <row r="25" spans="1:25" ht="37.799999999999997" customHeight="1">
      <c r="A25" s="483" t="s">
        <v>157</v>
      </c>
      <c r="B25" s="483"/>
      <c r="C25" s="469">
        <f t="shared" si="8"/>
        <v>16020</v>
      </c>
      <c r="D25" s="478"/>
      <c r="E25" s="470"/>
      <c r="F25" s="469">
        <f t="shared" si="6"/>
        <v>18164</v>
      </c>
      <c r="G25" s="478"/>
      <c r="H25" s="470"/>
      <c r="I25" s="469">
        <f t="shared" si="6"/>
        <v>20340</v>
      </c>
      <c r="J25" s="478"/>
      <c r="K25" s="470"/>
      <c r="L25" s="496">
        <f t="shared" si="2"/>
        <v>2176</v>
      </c>
      <c r="M25" s="496"/>
      <c r="N25" s="490">
        <f t="shared" si="3"/>
        <v>111.97974014534245</v>
      </c>
      <c r="O25" s="491"/>
      <c r="W25" s="474"/>
      <c r="X25" s="474"/>
      <c r="Y25" s="474"/>
    </row>
    <row r="26" spans="1:25" ht="13.5" customHeight="1">
      <c r="A26" s="55"/>
      <c r="B26" s="55"/>
      <c r="C26" s="55"/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99"/>
      <c r="O26" s="99"/>
      <c r="W26" s="475"/>
      <c r="X26" s="475"/>
      <c r="Y26" s="475"/>
    </row>
    <row r="27" spans="1:25" ht="21">
      <c r="A27" s="492"/>
      <c r="B27" s="492"/>
      <c r="C27" s="492"/>
      <c r="D27" s="492"/>
      <c r="E27" s="492"/>
      <c r="F27" s="492"/>
      <c r="G27" s="492"/>
      <c r="H27" s="492"/>
      <c r="I27" s="492"/>
      <c r="J27" s="492"/>
      <c r="K27" s="492"/>
      <c r="L27" s="492"/>
      <c r="M27" s="492"/>
      <c r="N27" s="492"/>
      <c r="O27" s="492"/>
      <c r="W27" s="475"/>
      <c r="X27" s="475"/>
      <c r="Y27" s="475"/>
    </row>
    <row r="28" spans="1:25" ht="11.25" customHeight="1">
      <c r="A28" s="57"/>
      <c r="B28" s="57"/>
      <c r="C28" s="57"/>
      <c r="D28" s="57"/>
      <c r="E28" s="57"/>
      <c r="F28" s="57"/>
      <c r="G28" s="57"/>
      <c r="H28" s="57"/>
      <c r="I28" s="57"/>
      <c r="J28" s="52"/>
      <c r="K28" s="52"/>
      <c r="L28" s="52"/>
      <c r="M28" s="52"/>
      <c r="N28" s="52"/>
      <c r="O28" s="52"/>
      <c r="W28" s="475"/>
      <c r="X28" s="475"/>
      <c r="Y28" s="475"/>
    </row>
    <row r="29" spans="1:25" ht="22.8">
      <c r="A29" s="502" t="s">
        <v>328</v>
      </c>
      <c r="B29" s="502"/>
      <c r="C29" s="502"/>
      <c r="D29" s="502"/>
      <c r="E29" s="502"/>
      <c r="F29" s="502"/>
      <c r="G29" s="502"/>
      <c r="H29" s="502"/>
      <c r="I29" s="502"/>
      <c r="J29" s="502"/>
    </row>
    <row r="30" spans="1:25">
      <c r="A30" s="15"/>
    </row>
    <row r="31" spans="1:25" ht="52.5" customHeight="1">
      <c r="A31" s="512" t="s">
        <v>383</v>
      </c>
      <c r="B31" s="513"/>
      <c r="C31" s="514"/>
      <c r="D31" s="466" t="s">
        <v>707</v>
      </c>
      <c r="E31" s="466"/>
      <c r="F31" s="466"/>
      <c r="G31" s="466" t="s">
        <v>708</v>
      </c>
      <c r="H31" s="466"/>
      <c r="I31" s="466"/>
      <c r="J31" s="466" t="s">
        <v>153</v>
      </c>
      <c r="K31" s="466"/>
      <c r="L31" s="466"/>
      <c r="M31" s="425" t="s">
        <v>154</v>
      </c>
      <c r="N31" s="505"/>
      <c r="O31" s="426"/>
    </row>
    <row r="32" spans="1:25" ht="141.6" customHeight="1">
      <c r="A32" s="515"/>
      <c r="B32" s="516"/>
      <c r="C32" s="517"/>
      <c r="D32" s="304" t="s">
        <v>311</v>
      </c>
      <c r="E32" s="304" t="s">
        <v>168</v>
      </c>
      <c r="F32" s="304" t="s">
        <v>312</v>
      </c>
      <c r="G32" s="304" t="s">
        <v>311</v>
      </c>
      <c r="H32" s="304" t="s">
        <v>168</v>
      </c>
      <c r="I32" s="304" t="s">
        <v>312</v>
      </c>
      <c r="J32" s="304" t="s">
        <v>311</v>
      </c>
      <c r="K32" s="304" t="s">
        <v>168</v>
      </c>
      <c r="L32" s="304" t="s">
        <v>312</v>
      </c>
      <c r="M32" s="17" t="s">
        <v>136</v>
      </c>
      <c r="N32" s="17" t="s">
        <v>137</v>
      </c>
      <c r="O32" s="17" t="s">
        <v>185</v>
      </c>
    </row>
    <row r="33" spans="1:15" ht="25.5" customHeight="1">
      <c r="A33" s="425">
        <v>1</v>
      </c>
      <c r="B33" s="505"/>
      <c r="C33" s="426"/>
      <c r="D33" s="304">
        <v>2</v>
      </c>
      <c r="E33" s="304">
        <v>3</v>
      </c>
      <c r="F33" s="304">
        <v>4</v>
      </c>
      <c r="G33" s="304">
        <v>5</v>
      </c>
      <c r="H33" s="288">
        <v>6</v>
      </c>
      <c r="I33" s="288">
        <v>7</v>
      </c>
      <c r="J33" s="288">
        <v>8</v>
      </c>
      <c r="K33" s="288">
        <v>9</v>
      </c>
      <c r="L33" s="288">
        <v>10</v>
      </c>
      <c r="M33" s="288">
        <v>11</v>
      </c>
      <c r="N33" s="288">
        <v>12</v>
      </c>
      <c r="O33" s="288">
        <v>13</v>
      </c>
    </row>
    <row r="34" spans="1:15" s="52" customFormat="1" ht="23.25" customHeight="1">
      <c r="A34" s="486" t="s">
        <v>627</v>
      </c>
      <c r="B34" s="487"/>
      <c r="C34" s="488"/>
      <c r="D34" s="258">
        <v>361770</v>
      </c>
      <c r="E34" s="301"/>
      <c r="F34" s="301"/>
      <c r="G34" s="257">
        <v>385707</v>
      </c>
      <c r="H34" s="258"/>
      <c r="I34" s="258"/>
      <c r="J34" s="301">
        <f>G34-D34</f>
        <v>23937</v>
      </c>
      <c r="K34" s="283"/>
      <c r="L34" s="283"/>
      <c r="M34" s="134">
        <f>IF(D34=0,0,G34/D34*100)</f>
        <v>106.61663487851398</v>
      </c>
      <c r="N34" s="283"/>
      <c r="O34" s="283"/>
    </row>
    <row r="35" spans="1:15" s="52" customFormat="1" ht="23.25" customHeight="1">
      <c r="A35" s="486" t="s">
        <v>628</v>
      </c>
      <c r="B35" s="487"/>
      <c r="C35" s="488"/>
      <c r="D35" s="258">
        <v>6500</v>
      </c>
      <c r="E35" s="301"/>
      <c r="F35" s="301"/>
      <c r="G35" s="257">
        <v>3374</v>
      </c>
      <c r="H35" s="258"/>
      <c r="I35" s="258"/>
      <c r="J35" s="301">
        <f t="shared" ref="J35:J39" si="9">G35-D35</f>
        <v>-3126</v>
      </c>
      <c r="K35" s="283"/>
      <c r="L35" s="283"/>
      <c r="M35" s="134">
        <f t="shared" ref="M35:M39" si="10">IF(D35=0,0,G35/D35*100)</f>
        <v>51.907692307692308</v>
      </c>
      <c r="N35" s="283"/>
      <c r="O35" s="283"/>
    </row>
    <row r="36" spans="1:15" s="52" customFormat="1" ht="23.25" customHeight="1">
      <c r="A36" s="486" t="s">
        <v>629</v>
      </c>
      <c r="B36" s="487"/>
      <c r="C36" s="488"/>
      <c r="D36" s="258">
        <v>240</v>
      </c>
      <c r="E36" s="301"/>
      <c r="F36" s="301"/>
      <c r="G36" s="257">
        <v>209</v>
      </c>
      <c r="H36" s="258"/>
      <c r="I36" s="258"/>
      <c r="J36" s="301">
        <f t="shared" si="9"/>
        <v>-31</v>
      </c>
      <c r="K36" s="283"/>
      <c r="L36" s="283"/>
      <c r="M36" s="134">
        <f t="shared" si="10"/>
        <v>87.083333333333329</v>
      </c>
      <c r="N36" s="283"/>
      <c r="O36" s="283"/>
    </row>
    <row r="37" spans="1:15" s="52" customFormat="1" ht="23.25" customHeight="1">
      <c r="A37" s="486" t="s">
        <v>630</v>
      </c>
      <c r="B37" s="487"/>
      <c r="C37" s="488"/>
      <c r="D37" s="258">
        <v>1100</v>
      </c>
      <c r="E37" s="301"/>
      <c r="F37" s="301"/>
      <c r="G37" s="257">
        <v>1087</v>
      </c>
      <c r="H37" s="258"/>
      <c r="I37" s="258"/>
      <c r="J37" s="301">
        <f t="shared" si="9"/>
        <v>-13</v>
      </c>
      <c r="K37" s="283"/>
      <c r="L37" s="283"/>
      <c r="M37" s="134">
        <f t="shared" si="10"/>
        <v>98.818181818181813</v>
      </c>
      <c r="N37" s="283"/>
      <c r="O37" s="283"/>
    </row>
    <row r="38" spans="1:15" s="52" customFormat="1" ht="23.25" customHeight="1">
      <c r="A38" s="486" t="s">
        <v>631</v>
      </c>
      <c r="B38" s="487"/>
      <c r="C38" s="488"/>
      <c r="D38" s="258"/>
      <c r="E38" s="301"/>
      <c r="F38" s="301"/>
      <c r="G38" s="257"/>
      <c r="H38" s="258"/>
      <c r="I38" s="258"/>
      <c r="J38" s="301">
        <f t="shared" si="9"/>
        <v>0</v>
      </c>
      <c r="K38" s="283"/>
      <c r="L38" s="283"/>
      <c r="M38" s="134">
        <f t="shared" si="10"/>
        <v>0</v>
      </c>
      <c r="N38" s="283"/>
      <c r="O38" s="283"/>
    </row>
    <row r="39" spans="1:15" s="52" customFormat="1" ht="23.25" customHeight="1">
      <c r="A39" s="486" t="s">
        <v>632</v>
      </c>
      <c r="B39" s="487"/>
      <c r="C39" s="488"/>
      <c r="D39" s="258">
        <v>600</v>
      </c>
      <c r="E39" s="301"/>
      <c r="F39" s="301"/>
      <c r="G39" s="257"/>
      <c r="H39" s="258"/>
      <c r="I39" s="258"/>
      <c r="J39" s="301">
        <f t="shared" si="9"/>
        <v>-600</v>
      </c>
      <c r="K39" s="283"/>
      <c r="L39" s="283"/>
      <c r="M39" s="134">
        <f t="shared" si="10"/>
        <v>0</v>
      </c>
      <c r="N39" s="283"/>
      <c r="O39" s="283"/>
    </row>
    <row r="40" spans="1:15" s="52" customFormat="1" ht="33" customHeight="1">
      <c r="A40" s="497" t="s">
        <v>50</v>
      </c>
      <c r="B40" s="498"/>
      <c r="C40" s="499"/>
      <c r="D40" s="302">
        <f>SUM(D34:D39)</f>
        <v>370210</v>
      </c>
      <c r="E40" s="302"/>
      <c r="F40" s="302"/>
      <c r="G40" s="302">
        <f>SUM(G34:G39)</f>
        <v>390377</v>
      </c>
      <c r="H40" s="302"/>
      <c r="I40" s="302"/>
      <c r="J40" s="302">
        <f>SUM(J34:J39)</f>
        <v>20167</v>
      </c>
      <c r="K40" s="302"/>
      <c r="L40" s="59"/>
      <c r="M40" s="135">
        <f>IF(D40=0,0,G40/D40*100)</f>
        <v>105.44744874530672</v>
      </c>
      <c r="N40" s="302"/>
      <c r="O40" s="59"/>
    </row>
    <row r="41" spans="1:15" ht="35.25" customHeight="1">
      <c r="A41" s="18"/>
      <c r="B41" s="19"/>
      <c r="C41" s="19"/>
      <c r="D41" s="19"/>
      <c r="E41" s="19"/>
      <c r="F41" s="100"/>
      <c r="G41" s="100"/>
      <c r="H41" s="100"/>
      <c r="I41" s="20"/>
      <c r="J41" s="20"/>
      <c r="K41" s="20"/>
      <c r="L41" s="20"/>
      <c r="M41" s="20"/>
      <c r="N41" s="20"/>
      <c r="O41" s="21"/>
    </row>
    <row r="42" spans="1:15" ht="22.8">
      <c r="A42" s="502" t="s">
        <v>329</v>
      </c>
      <c r="B42" s="502"/>
      <c r="C42" s="502"/>
      <c r="D42" s="502"/>
      <c r="E42" s="502"/>
      <c r="F42" s="502"/>
      <c r="G42" s="502"/>
      <c r="H42" s="502"/>
      <c r="I42" s="502"/>
      <c r="J42" s="502"/>
      <c r="K42" s="502"/>
      <c r="L42" s="502"/>
      <c r="M42" s="502"/>
      <c r="N42" s="502"/>
      <c r="O42" s="502"/>
    </row>
    <row r="43" spans="1:15">
      <c r="A43" s="15"/>
      <c r="O43" s="18" t="s">
        <v>423</v>
      </c>
    </row>
    <row r="44" spans="1:15" ht="56.25" customHeight="1">
      <c r="A44" s="284" t="s">
        <v>92</v>
      </c>
      <c r="B44" s="389" t="s">
        <v>63</v>
      </c>
      <c r="C44" s="389"/>
      <c r="D44" s="389" t="s">
        <v>58</v>
      </c>
      <c r="E44" s="389"/>
      <c r="F44" s="389" t="s">
        <v>59</v>
      </c>
      <c r="G44" s="389"/>
      <c r="H44" s="389" t="s">
        <v>73</v>
      </c>
      <c r="I44" s="389"/>
      <c r="J44" s="389"/>
      <c r="K44" s="493" t="s">
        <v>740</v>
      </c>
      <c r="L44" s="494"/>
      <c r="M44" s="493" t="s">
        <v>30</v>
      </c>
      <c r="N44" s="495"/>
      <c r="O44" s="494"/>
    </row>
    <row r="45" spans="1:15" ht="24.75" customHeight="1">
      <c r="A45" s="283">
        <v>1</v>
      </c>
      <c r="B45" s="391">
        <v>2</v>
      </c>
      <c r="C45" s="391"/>
      <c r="D45" s="391">
        <v>3</v>
      </c>
      <c r="E45" s="391"/>
      <c r="F45" s="391">
        <v>4</v>
      </c>
      <c r="G45" s="391"/>
      <c r="H45" s="391">
        <v>5</v>
      </c>
      <c r="I45" s="391"/>
      <c r="J45" s="391"/>
      <c r="K45" s="391">
        <v>6</v>
      </c>
      <c r="L45" s="391"/>
      <c r="M45" s="479">
        <v>7</v>
      </c>
      <c r="N45" s="510"/>
      <c r="O45" s="480"/>
    </row>
    <row r="46" spans="1:15" ht="36">
      <c r="A46" s="303" t="s">
        <v>477</v>
      </c>
      <c r="B46" s="471" t="s">
        <v>633</v>
      </c>
      <c r="C46" s="473"/>
      <c r="D46" s="519">
        <v>994.3</v>
      </c>
      <c r="E46" s="520"/>
      <c r="F46" s="521" t="s">
        <v>635</v>
      </c>
      <c r="G46" s="522"/>
      <c r="H46" s="425" t="s">
        <v>636</v>
      </c>
      <c r="I46" s="467"/>
      <c r="J46" s="468"/>
      <c r="K46" s="469">
        <v>58</v>
      </c>
      <c r="L46" s="470"/>
      <c r="M46" s="471" t="s">
        <v>637</v>
      </c>
      <c r="N46" s="472"/>
      <c r="O46" s="473"/>
    </row>
    <row r="47" spans="1:15" ht="25.8" customHeight="1">
      <c r="A47" s="60" t="s">
        <v>50</v>
      </c>
      <c r="B47" s="518" t="s">
        <v>31</v>
      </c>
      <c r="C47" s="518"/>
      <c r="D47" s="518" t="s">
        <v>31</v>
      </c>
      <c r="E47" s="518"/>
      <c r="F47" s="518" t="s">
        <v>31</v>
      </c>
      <c r="G47" s="518"/>
      <c r="H47" s="509"/>
      <c r="I47" s="509"/>
      <c r="J47" s="509"/>
      <c r="K47" s="481">
        <f>SUM(K46:L46)</f>
        <v>58</v>
      </c>
      <c r="L47" s="482"/>
      <c r="M47" s="511"/>
      <c r="N47" s="511"/>
      <c r="O47" s="511"/>
    </row>
    <row r="48" spans="1:15">
      <c r="A48" s="100"/>
      <c r="B48" s="306"/>
      <c r="C48" s="306"/>
      <c r="D48" s="306"/>
      <c r="E48" s="306"/>
      <c r="F48" s="306" t="s">
        <v>358</v>
      </c>
      <c r="G48" s="306"/>
      <c r="H48" s="306"/>
      <c r="I48" s="306"/>
      <c r="J48" s="306"/>
    </row>
    <row r="49" spans="1:15" ht="22.8">
      <c r="A49" s="502" t="s">
        <v>335</v>
      </c>
      <c r="B49" s="502"/>
      <c r="C49" s="502"/>
      <c r="D49" s="502"/>
      <c r="E49" s="502"/>
      <c r="F49" s="502"/>
      <c r="G49" s="502"/>
      <c r="H49" s="502"/>
      <c r="I49" s="502"/>
      <c r="J49" s="502"/>
      <c r="K49" s="502"/>
      <c r="L49" s="502"/>
      <c r="M49" s="502"/>
      <c r="N49" s="502"/>
      <c r="O49" s="502"/>
    </row>
    <row r="50" spans="1:15" ht="1.8" customHeight="1">
      <c r="A50" s="20"/>
      <c r="B50" s="22"/>
      <c r="C50" s="20"/>
      <c r="D50" s="20"/>
      <c r="E50" s="20"/>
      <c r="F50" s="20"/>
      <c r="G50" s="20"/>
      <c r="H50" s="20"/>
      <c r="I50" s="21"/>
      <c r="O50" s="18"/>
    </row>
    <row r="51" spans="1:15" ht="42.75" customHeight="1">
      <c r="A51" s="389" t="s">
        <v>57</v>
      </c>
      <c r="B51" s="389"/>
      <c r="C51" s="389"/>
      <c r="D51" s="389" t="s">
        <v>741</v>
      </c>
      <c r="E51" s="389"/>
      <c r="F51" s="389" t="s">
        <v>700</v>
      </c>
      <c r="G51" s="389"/>
      <c r="H51" s="389"/>
      <c r="I51" s="389"/>
      <c r="J51" s="389" t="s">
        <v>701</v>
      </c>
      <c r="K51" s="389"/>
      <c r="L51" s="389"/>
      <c r="M51" s="389"/>
      <c r="N51" s="389" t="s">
        <v>740</v>
      </c>
      <c r="O51" s="389"/>
    </row>
    <row r="52" spans="1:15" ht="30.6" customHeight="1">
      <c r="A52" s="389"/>
      <c r="B52" s="389"/>
      <c r="C52" s="389"/>
      <c r="D52" s="389"/>
      <c r="E52" s="389"/>
      <c r="F52" s="391" t="s">
        <v>138</v>
      </c>
      <c r="G52" s="391"/>
      <c r="H52" s="389" t="s">
        <v>139</v>
      </c>
      <c r="I52" s="389"/>
      <c r="J52" s="391" t="s">
        <v>138</v>
      </c>
      <c r="K52" s="391"/>
      <c r="L52" s="389" t="s">
        <v>139</v>
      </c>
      <c r="M52" s="389"/>
      <c r="N52" s="389"/>
      <c r="O52" s="389"/>
    </row>
    <row r="53" spans="1:15" ht="18.600000000000001" customHeight="1">
      <c r="A53" s="389">
        <v>1</v>
      </c>
      <c r="B53" s="389"/>
      <c r="C53" s="389"/>
      <c r="D53" s="493">
        <v>2</v>
      </c>
      <c r="E53" s="494"/>
      <c r="F53" s="493">
        <v>3</v>
      </c>
      <c r="G53" s="494"/>
      <c r="H53" s="479">
        <v>4</v>
      </c>
      <c r="I53" s="480"/>
      <c r="J53" s="479">
        <v>5</v>
      </c>
      <c r="K53" s="480"/>
      <c r="L53" s="479">
        <v>6</v>
      </c>
      <c r="M53" s="480"/>
      <c r="N53" s="479">
        <v>7</v>
      </c>
      <c r="O53" s="480"/>
    </row>
    <row r="54" spans="1:15" ht="30.75" customHeight="1">
      <c r="A54" s="483" t="s">
        <v>165</v>
      </c>
      <c r="B54" s="483"/>
      <c r="C54" s="483"/>
      <c r="D54" s="484">
        <f>SUM(D56:E57)</f>
        <v>0</v>
      </c>
      <c r="E54" s="485"/>
      <c r="F54" s="484">
        <f t="shared" ref="F54" si="11">SUM(F56:G57)</f>
        <v>0</v>
      </c>
      <c r="G54" s="485"/>
      <c r="H54" s="484">
        <f t="shared" ref="H54" si="12">SUM(H56:I57)</f>
        <v>0</v>
      </c>
      <c r="I54" s="485"/>
      <c r="J54" s="484">
        <f t="shared" ref="J54" si="13">SUM(J56:K57)</f>
        <v>0</v>
      </c>
      <c r="K54" s="485"/>
      <c r="L54" s="484">
        <f t="shared" ref="L54" si="14">SUM(L56:M57)</f>
        <v>0</v>
      </c>
      <c r="M54" s="485"/>
      <c r="N54" s="484">
        <f t="shared" ref="N54" si="15">SUM(N56:O57)</f>
        <v>0</v>
      </c>
      <c r="O54" s="485"/>
    </row>
    <row r="55" spans="1:15" ht="27.75" customHeight="1">
      <c r="A55" s="483" t="s">
        <v>78</v>
      </c>
      <c r="B55" s="483"/>
      <c r="C55" s="483"/>
      <c r="D55" s="484"/>
      <c r="E55" s="485"/>
      <c r="F55" s="484"/>
      <c r="G55" s="485"/>
      <c r="H55" s="484"/>
      <c r="I55" s="485"/>
      <c r="J55" s="484"/>
      <c r="K55" s="485"/>
      <c r="L55" s="484"/>
      <c r="M55" s="485"/>
      <c r="N55" s="484"/>
      <c r="O55" s="485"/>
    </row>
    <row r="56" spans="1:15" ht="23.25" customHeight="1">
      <c r="A56" s="489" t="s">
        <v>638</v>
      </c>
      <c r="B56" s="489"/>
      <c r="C56" s="489"/>
      <c r="D56" s="484"/>
      <c r="E56" s="485"/>
      <c r="F56" s="484"/>
      <c r="G56" s="485"/>
      <c r="H56" s="484"/>
      <c r="I56" s="485"/>
      <c r="J56" s="484"/>
      <c r="K56" s="485"/>
      <c r="L56" s="484"/>
      <c r="M56" s="485"/>
      <c r="N56" s="484">
        <f>D56+H56-L56</f>
        <v>0</v>
      </c>
      <c r="O56" s="485"/>
    </row>
    <row r="57" spans="1:15" ht="23.25" customHeight="1">
      <c r="A57" s="486" t="s">
        <v>639</v>
      </c>
      <c r="B57" s="487"/>
      <c r="C57" s="488"/>
      <c r="D57" s="484"/>
      <c r="E57" s="485"/>
      <c r="F57" s="484"/>
      <c r="G57" s="485"/>
      <c r="H57" s="484"/>
      <c r="I57" s="485"/>
      <c r="J57" s="484"/>
      <c r="K57" s="485"/>
      <c r="L57" s="484"/>
      <c r="M57" s="485"/>
      <c r="N57" s="484">
        <f>D57+H57-L57</f>
        <v>0</v>
      </c>
      <c r="O57" s="485"/>
    </row>
    <row r="58" spans="1:15" ht="30.75" customHeight="1">
      <c r="A58" s="483" t="s">
        <v>166</v>
      </c>
      <c r="B58" s="483"/>
      <c r="C58" s="483"/>
      <c r="D58" s="484">
        <f>SUM(D60:E60)</f>
        <v>1153</v>
      </c>
      <c r="E58" s="485"/>
      <c r="F58" s="484">
        <f>SUM(F60:G60)</f>
        <v>0</v>
      </c>
      <c r="G58" s="485"/>
      <c r="H58" s="484">
        <f>SUM(H60:I60)</f>
        <v>0</v>
      </c>
      <c r="I58" s="485"/>
      <c r="J58" s="484">
        <f>SUM(J60:K60)</f>
        <v>1153</v>
      </c>
      <c r="K58" s="485"/>
      <c r="L58" s="484">
        <f>SUM(L60:M60)</f>
        <v>1153</v>
      </c>
      <c r="M58" s="485"/>
      <c r="N58" s="484">
        <f>SUM(N60:O60)</f>
        <v>0</v>
      </c>
      <c r="O58" s="485"/>
    </row>
    <row r="59" spans="1:15" ht="27.75" customHeight="1">
      <c r="A59" s="483" t="s">
        <v>384</v>
      </c>
      <c r="B59" s="483"/>
      <c r="C59" s="483"/>
      <c r="D59" s="484"/>
      <c r="E59" s="485"/>
      <c r="F59" s="484"/>
      <c r="G59" s="485"/>
      <c r="H59" s="484"/>
      <c r="I59" s="485"/>
      <c r="J59" s="484"/>
      <c r="K59" s="485"/>
      <c r="L59" s="484"/>
      <c r="M59" s="485"/>
      <c r="N59" s="484"/>
      <c r="O59" s="485"/>
    </row>
    <row r="60" spans="1:15" ht="23.25" customHeight="1">
      <c r="A60" s="483" t="s">
        <v>634</v>
      </c>
      <c r="B60" s="483"/>
      <c r="C60" s="483"/>
      <c r="D60" s="484">
        <v>1153</v>
      </c>
      <c r="E60" s="485"/>
      <c r="F60" s="484"/>
      <c r="G60" s="485"/>
      <c r="H60" s="484"/>
      <c r="I60" s="485"/>
      <c r="J60" s="484">
        <v>1153</v>
      </c>
      <c r="K60" s="485"/>
      <c r="L60" s="484">
        <v>1153</v>
      </c>
      <c r="M60" s="485"/>
      <c r="N60" s="484">
        <f>D60+H60-L60</f>
        <v>0</v>
      </c>
      <c r="O60" s="485"/>
    </row>
    <row r="61" spans="1:15" ht="30.75" customHeight="1">
      <c r="A61" s="483" t="s">
        <v>167</v>
      </c>
      <c r="B61" s="483"/>
      <c r="C61" s="483"/>
      <c r="D61" s="484">
        <f>SUM(D63:E64)</f>
        <v>2332</v>
      </c>
      <c r="E61" s="485"/>
      <c r="F61" s="484">
        <f t="shared" ref="F61" si="16">SUM(F63:G64)</f>
        <v>0</v>
      </c>
      <c r="G61" s="485"/>
      <c r="H61" s="484">
        <f t="shared" ref="H61" si="17">SUM(H63:I64)</f>
        <v>0</v>
      </c>
      <c r="I61" s="485"/>
      <c r="J61" s="484">
        <f t="shared" ref="J61" si="18">SUM(J63:K64)</f>
        <v>2293</v>
      </c>
      <c r="K61" s="485"/>
      <c r="L61" s="484">
        <f>SUM(L63:M64)</f>
        <v>2274</v>
      </c>
      <c r="M61" s="485"/>
      <c r="N61" s="484">
        <f>SUM(N63:O64)</f>
        <v>58</v>
      </c>
      <c r="O61" s="485"/>
    </row>
    <row r="62" spans="1:15" ht="27.75" customHeight="1">
      <c r="A62" s="483" t="s">
        <v>78</v>
      </c>
      <c r="B62" s="483"/>
      <c r="C62" s="483"/>
      <c r="D62" s="484"/>
      <c r="E62" s="485"/>
      <c r="F62" s="484"/>
      <c r="G62" s="485"/>
      <c r="H62" s="484"/>
      <c r="I62" s="485"/>
      <c r="J62" s="484"/>
      <c r="K62" s="485"/>
      <c r="L62" s="484"/>
      <c r="M62" s="485"/>
      <c r="N62" s="484"/>
      <c r="O62" s="485"/>
    </row>
    <row r="63" spans="1:15" ht="23.25" customHeight="1">
      <c r="A63" s="489" t="s">
        <v>640</v>
      </c>
      <c r="B63" s="489"/>
      <c r="C63" s="489"/>
      <c r="D63" s="484">
        <v>2069</v>
      </c>
      <c r="E63" s="485"/>
      <c r="F63" s="484"/>
      <c r="G63" s="485"/>
      <c r="H63" s="484"/>
      <c r="I63" s="485"/>
      <c r="J63" s="484">
        <v>2069</v>
      </c>
      <c r="K63" s="485"/>
      <c r="L63" s="484">
        <v>2069</v>
      </c>
      <c r="M63" s="485"/>
      <c r="N63" s="484">
        <f>D63+H63-L63</f>
        <v>0</v>
      </c>
      <c r="O63" s="485"/>
    </row>
    <row r="64" spans="1:15" ht="23.25" customHeight="1">
      <c r="A64" s="486" t="s">
        <v>641</v>
      </c>
      <c r="B64" s="487"/>
      <c r="C64" s="488"/>
      <c r="D64" s="484">
        <v>263</v>
      </c>
      <c r="E64" s="485"/>
      <c r="F64" s="484"/>
      <c r="G64" s="485"/>
      <c r="H64" s="484"/>
      <c r="I64" s="485"/>
      <c r="J64" s="484">
        <v>224</v>
      </c>
      <c r="K64" s="485"/>
      <c r="L64" s="484">
        <v>205</v>
      </c>
      <c r="M64" s="485"/>
      <c r="N64" s="484">
        <f>D64+H64-L64</f>
        <v>58</v>
      </c>
      <c r="O64" s="485"/>
    </row>
    <row r="65" spans="1:15" ht="28.2" customHeight="1">
      <c r="A65" s="409" t="s">
        <v>50</v>
      </c>
      <c r="B65" s="409"/>
      <c r="C65" s="409"/>
      <c r="D65" s="507">
        <f>SUM(D54,D58,D61)</f>
        <v>3485</v>
      </c>
      <c r="E65" s="508"/>
      <c r="F65" s="507">
        <f>SUM(F54,F58,F61)</f>
        <v>0</v>
      </c>
      <c r="G65" s="508"/>
      <c r="H65" s="507">
        <f>SUM(H54,H58,H61)</f>
        <v>0</v>
      </c>
      <c r="I65" s="508"/>
      <c r="J65" s="507">
        <f>SUM(J54,J58,J61)</f>
        <v>3446</v>
      </c>
      <c r="K65" s="508"/>
      <c r="L65" s="507">
        <f>SUM(L54,L58,L61)</f>
        <v>3427</v>
      </c>
      <c r="M65" s="508"/>
      <c r="N65" s="507">
        <f>SUM(N54,N58,N61)</f>
        <v>58</v>
      </c>
      <c r="O65" s="508"/>
    </row>
    <row r="66" spans="1:15">
      <c r="C66" s="23"/>
      <c r="D66" s="23"/>
      <c r="E66" s="23"/>
    </row>
    <row r="67" spans="1:15">
      <c r="C67" s="23"/>
      <c r="D67" s="23"/>
      <c r="E67" s="23"/>
    </row>
    <row r="68" spans="1:15">
      <c r="A68" s="306"/>
      <c r="C68" s="23"/>
      <c r="D68" s="23"/>
      <c r="E68" s="23"/>
    </row>
    <row r="69" spans="1:15">
      <c r="A69" s="18"/>
      <c r="C69" s="23"/>
      <c r="D69" s="23"/>
      <c r="E69" s="23"/>
      <c r="F69" s="18"/>
      <c r="G69" s="18"/>
      <c r="L69" s="476"/>
      <c r="M69" s="477"/>
      <c r="N69" s="477"/>
      <c r="O69" s="477"/>
    </row>
    <row r="70" spans="1:15">
      <c r="C70" s="23"/>
      <c r="D70" s="23"/>
      <c r="E70" s="23"/>
    </row>
    <row r="71" spans="1:15">
      <c r="C71" s="23"/>
      <c r="D71" s="23"/>
      <c r="E71" s="23"/>
    </row>
    <row r="72" spans="1:15">
      <c r="C72" s="23"/>
      <c r="D72" s="23"/>
      <c r="E72" s="23"/>
    </row>
    <row r="73" spans="1:15">
      <c r="C73" s="23"/>
      <c r="D73" s="23"/>
      <c r="E73" s="23"/>
    </row>
    <row r="74" spans="1:15">
      <c r="C74" s="23"/>
      <c r="D74" s="23"/>
      <c r="E74" s="23"/>
    </row>
    <row r="75" spans="1:15">
      <c r="C75" s="23"/>
      <c r="D75" s="23"/>
      <c r="E75" s="23"/>
    </row>
    <row r="76" spans="1:15">
      <c r="C76" s="23"/>
      <c r="D76" s="23"/>
      <c r="E76" s="23"/>
    </row>
    <row r="77" spans="1:15">
      <c r="C77" s="23"/>
      <c r="D77" s="23"/>
      <c r="E77" s="23"/>
    </row>
    <row r="78" spans="1:15">
      <c r="C78" s="23"/>
      <c r="D78" s="23"/>
      <c r="E78" s="23"/>
    </row>
    <row r="79" spans="1:15">
      <c r="C79" s="23"/>
      <c r="D79" s="23"/>
      <c r="E79" s="23"/>
    </row>
  </sheetData>
  <mergeCells count="260">
    <mergeCell ref="D54:E54"/>
    <mergeCell ref="A54:C54"/>
    <mergeCell ref="A53:C53"/>
    <mergeCell ref="L53:M53"/>
    <mergeCell ref="N53:O53"/>
    <mergeCell ref="F53:G53"/>
    <mergeCell ref="L54:M54"/>
    <mergeCell ref="N54:O54"/>
    <mergeCell ref="J54:K54"/>
    <mergeCell ref="A38:C38"/>
    <mergeCell ref="B47:C47"/>
    <mergeCell ref="D47:E47"/>
    <mergeCell ref="F47:G47"/>
    <mergeCell ref="F45:G45"/>
    <mergeCell ref="A39:C39"/>
    <mergeCell ref="A37:C37"/>
    <mergeCell ref="A36:C36"/>
    <mergeCell ref="B46:C46"/>
    <mergeCell ref="D46:E46"/>
    <mergeCell ref="F46:G46"/>
    <mergeCell ref="A34:C34"/>
    <mergeCell ref="A35:C35"/>
    <mergeCell ref="N21:O21"/>
    <mergeCell ref="N22:O22"/>
    <mergeCell ref="N23:O23"/>
    <mergeCell ref="I21:K21"/>
    <mergeCell ref="I22:K22"/>
    <mergeCell ref="L21:M21"/>
    <mergeCell ref="I24:K24"/>
    <mergeCell ref="I23:K23"/>
    <mergeCell ref="C21:E21"/>
    <mergeCell ref="C22:E22"/>
    <mergeCell ref="L23:M23"/>
    <mergeCell ref="L24:M24"/>
    <mergeCell ref="F24:H24"/>
    <mergeCell ref="C23:E23"/>
    <mergeCell ref="A31:C32"/>
    <mergeCell ref="A33:C33"/>
    <mergeCell ref="A25:B25"/>
    <mergeCell ref="A24:B24"/>
    <mergeCell ref="F17:H17"/>
    <mergeCell ref="F18:H18"/>
    <mergeCell ref="F19:H19"/>
    <mergeCell ref="G31:I31"/>
    <mergeCell ref="C18:E18"/>
    <mergeCell ref="N25:O25"/>
    <mergeCell ref="L22:M22"/>
    <mergeCell ref="F25:H25"/>
    <mergeCell ref="F21:H21"/>
    <mergeCell ref="F22:H22"/>
    <mergeCell ref="F23:H23"/>
    <mergeCell ref="L18:M18"/>
    <mergeCell ref="L19:M19"/>
    <mergeCell ref="L20:M20"/>
    <mergeCell ref="L25:M25"/>
    <mergeCell ref="I25:K25"/>
    <mergeCell ref="C25:E25"/>
    <mergeCell ref="C19:E19"/>
    <mergeCell ref="C20:E20"/>
    <mergeCell ref="C24:E24"/>
    <mergeCell ref="H47:J47"/>
    <mergeCell ref="F54:G54"/>
    <mergeCell ref="H52:I52"/>
    <mergeCell ref="H57:I57"/>
    <mergeCell ref="F57:G57"/>
    <mergeCell ref="J51:M51"/>
    <mergeCell ref="M45:O45"/>
    <mergeCell ref="M47:O47"/>
    <mergeCell ref="A49:O49"/>
    <mergeCell ref="D45:E45"/>
    <mergeCell ref="B45:C45"/>
    <mergeCell ref="H54:I54"/>
    <mergeCell ref="F52:G52"/>
    <mergeCell ref="A56:C56"/>
    <mergeCell ref="D56:E56"/>
    <mergeCell ref="F56:G56"/>
    <mergeCell ref="H56:I56"/>
    <mergeCell ref="D51:E52"/>
    <mergeCell ref="A51:C52"/>
    <mergeCell ref="J52:K52"/>
    <mergeCell ref="L52:M52"/>
    <mergeCell ref="N51:O52"/>
    <mergeCell ref="F51:I51"/>
    <mergeCell ref="D53:E53"/>
    <mergeCell ref="N65:O65"/>
    <mergeCell ref="D64:E64"/>
    <mergeCell ref="F64:G64"/>
    <mergeCell ref="H64:I64"/>
    <mergeCell ref="J64:K64"/>
    <mergeCell ref="L64:M64"/>
    <mergeCell ref="N64:O64"/>
    <mergeCell ref="D65:E65"/>
    <mergeCell ref="H65:I65"/>
    <mergeCell ref="J65:K65"/>
    <mergeCell ref="L65:M65"/>
    <mergeCell ref="F65:G65"/>
    <mergeCell ref="N55:O55"/>
    <mergeCell ref="N58:O58"/>
    <mergeCell ref="L55:M55"/>
    <mergeCell ref="N57:O57"/>
    <mergeCell ref="L56:M56"/>
    <mergeCell ref="N56:O56"/>
    <mergeCell ref="N59:O59"/>
    <mergeCell ref="J55:K55"/>
    <mergeCell ref="L59:M59"/>
    <mergeCell ref="J59:K59"/>
    <mergeCell ref="J56:K56"/>
    <mergeCell ref="A55:C55"/>
    <mergeCell ref="L57:M57"/>
    <mergeCell ref="J57:K57"/>
    <mergeCell ref="D62:E62"/>
    <mergeCell ref="F62:G62"/>
    <mergeCell ref="A57:C57"/>
    <mergeCell ref="D59:E59"/>
    <mergeCell ref="A59:C59"/>
    <mergeCell ref="F59:G59"/>
    <mergeCell ref="D58:E58"/>
    <mergeCell ref="F58:G58"/>
    <mergeCell ref="D55:E55"/>
    <mergeCell ref="F55:G55"/>
    <mergeCell ref="H58:I58"/>
    <mergeCell ref="J58:K58"/>
    <mergeCell ref="H55:I55"/>
    <mergeCell ref="H60:I60"/>
    <mergeCell ref="J60:K60"/>
    <mergeCell ref="L60:M60"/>
    <mergeCell ref="H61:I61"/>
    <mergeCell ref="J61:K61"/>
    <mergeCell ref="L61:M61"/>
    <mergeCell ref="D63:E63"/>
    <mergeCell ref="F63:G63"/>
    <mergeCell ref="F60:G60"/>
    <mergeCell ref="N62:O62"/>
    <mergeCell ref="L62:M62"/>
    <mergeCell ref="H62:I62"/>
    <mergeCell ref="L58:M58"/>
    <mergeCell ref="H59:I59"/>
    <mergeCell ref="J62:K62"/>
    <mergeCell ref="D60:E60"/>
    <mergeCell ref="N60:O60"/>
    <mergeCell ref="H63:I63"/>
    <mergeCell ref="J63:K63"/>
    <mergeCell ref="L63:M63"/>
    <mergeCell ref="N63:O63"/>
    <mergeCell ref="N61:O61"/>
    <mergeCell ref="A2:O2"/>
    <mergeCell ref="A3:O3"/>
    <mergeCell ref="I11:K11"/>
    <mergeCell ref="D44:E44"/>
    <mergeCell ref="J31:L31"/>
    <mergeCell ref="M31:O31"/>
    <mergeCell ref="A42:O42"/>
    <mergeCell ref="F44:G44"/>
    <mergeCell ref="H44:J44"/>
    <mergeCell ref="A4:O4"/>
    <mergeCell ref="A5:O5"/>
    <mergeCell ref="A6:O6"/>
    <mergeCell ref="A7:O7"/>
    <mergeCell ref="L8:M8"/>
    <mergeCell ref="N8:O8"/>
    <mergeCell ref="F8:H8"/>
    <mergeCell ref="I8:K8"/>
    <mergeCell ref="N9:O9"/>
    <mergeCell ref="N10:O10"/>
    <mergeCell ref="L9:M9"/>
    <mergeCell ref="A8:B8"/>
    <mergeCell ref="N12:O12"/>
    <mergeCell ref="I9:K9"/>
    <mergeCell ref="N24:O24"/>
    <mergeCell ref="C8:E8"/>
    <mergeCell ref="C9:E9"/>
    <mergeCell ref="C10:E10"/>
    <mergeCell ref="N13:O13"/>
    <mergeCell ref="L11:M11"/>
    <mergeCell ref="N14:O14"/>
    <mergeCell ref="L13:M13"/>
    <mergeCell ref="N11:O11"/>
    <mergeCell ref="I12:K12"/>
    <mergeCell ref="I13:K13"/>
    <mergeCell ref="L12:M12"/>
    <mergeCell ref="F9:H9"/>
    <mergeCell ref="F10:H10"/>
    <mergeCell ref="F11:H11"/>
    <mergeCell ref="L10:M10"/>
    <mergeCell ref="C11:E11"/>
    <mergeCell ref="L14:M14"/>
    <mergeCell ref="F14:H14"/>
    <mergeCell ref="L16:M16"/>
    <mergeCell ref="I16:K16"/>
    <mergeCell ref="F15:H15"/>
    <mergeCell ref="I15:K15"/>
    <mergeCell ref="F12:H12"/>
    <mergeCell ref="F13:H13"/>
    <mergeCell ref="I14:K14"/>
    <mergeCell ref="I10:K10"/>
    <mergeCell ref="A9:B9"/>
    <mergeCell ref="A10:B10"/>
    <mergeCell ref="A11:B11"/>
    <mergeCell ref="A12:B12"/>
    <mergeCell ref="A13:B13"/>
    <mergeCell ref="C12:E12"/>
    <mergeCell ref="C13:E13"/>
    <mergeCell ref="C14:E14"/>
    <mergeCell ref="A18:B18"/>
    <mergeCell ref="A19:B19"/>
    <mergeCell ref="A20:B20"/>
    <mergeCell ref="A22:B22"/>
    <mergeCell ref="A23:B23"/>
    <mergeCell ref="A21:B21"/>
    <mergeCell ref="A14:B14"/>
    <mergeCell ref="A15:B15"/>
    <mergeCell ref="A16:B16"/>
    <mergeCell ref="N15:O15"/>
    <mergeCell ref="N16:O16"/>
    <mergeCell ref="A27:O27"/>
    <mergeCell ref="F16:H16"/>
    <mergeCell ref="K45:L45"/>
    <mergeCell ref="K44:L44"/>
    <mergeCell ref="M44:O44"/>
    <mergeCell ref="B44:C44"/>
    <mergeCell ref="L15:M15"/>
    <mergeCell ref="H45:J45"/>
    <mergeCell ref="A40:C40"/>
    <mergeCell ref="N17:O17"/>
    <mergeCell ref="N18:O18"/>
    <mergeCell ref="N19:O19"/>
    <mergeCell ref="N20:O20"/>
    <mergeCell ref="L17:M17"/>
    <mergeCell ref="A29:J29"/>
    <mergeCell ref="D31:F31"/>
    <mergeCell ref="F20:H20"/>
    <mergeCell ref="I17:K17"/>
    <mergeCell ref="I18:K18"/>
    <mergeCell ref="I19:K19"/>
    <mergeCell ref="I20:K20"/>
    <mergeCell ref="A17:B17"/>
    <mergeCell ref="H46:J46"/>
    <mergeCell ref="K46:L46"/>
    <mergeCell ref="M46:O46"/>
    <mergeCell ref="W25:Y25"/>
    <mergeCell ref="W26:Y26"/>
    <mergeCell ref="W27:Y27"/>
    <mergeCell ref="W28:Y28"/>
    <mergeCell ref="L69:O69"/>
    <mergeCell ref="C15:E15"/>
    <mergeCell ref="C16:E16"/>
    <mergeCell ref="C17:E17"/>
    <mergeCell ref="H53:I53"/>
    <mergeCell ref="K47:L47"/>
    <mergeCell ref="J53:K53"/>
    <mergeCell ref="A60:C60"/>
    <mergeCell ref="A65:C65"/>
    <mergeCell ref="D57:E57"/>
    <mergeCell ref="A62:C62"/>
    <mergeCell ref="A61:C61"/>
    <mergeCell ref="A64:C64"/>
    <mergeCell ref="A58:C58"/>
    <mergeCell ref="D61:E61"/>
    <mergeCell ref="F61:G61"/>
    <mergeCell ref="A63:C63"/>
  </mergeCells>
  <phoneticPr fontId="3" type="noConversion"/>
  <printOptions horizontalCentered="1"/>
  <pageMargins left="0.59055118110236227" right="0.59055118110236227" top="0.98425196850393704" bottom="0.59055118110236227" header="0" footer="0"/>
  <pageSetup paperSize="9" scale="44" fitToHeight="4" orientation="landscape" blackAndWhite="1" horizontalDpi="1200" verticalDpi="1200" r:id="rId1"/>
  <headerFooter alignWithMargins="0"/>
  <rowBreaks count="1" manualBreakCount="1">
    <brk id="26" max="14" man="1"/>
  </rowBreaks>
  <ignoredErrors>
    <ignoredError sqref="O10" evalError="1"/>
    <ignoredError sqref="E40:F40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H103"/>
  <sheetViews>
    <sheetView view="pageBreakPreview" topLeftCell="A49" zoomScale="50" zoomScaleNormal="48" zoomScaleSheetLayoutView="50" workbookViewId="0">
      <selection activeCell="B50" sqref="B50:L50"/>
    </sheetView>
  </sheetViews>
  <sheetFormatPr defaultColWidth="9.109375" defaultRowHeight="18"/>
  <cols>
    <col min="1" max="2" width="4.44140625" style="305" customWidth="1"/>
    <col min="3" max="3" width="34.88671875" style="305" customWidth="1"/>
    <col min="4" max="6" width="8.44140625" style="305" customWidth="1"/>
    <col min="7" max="9" width="11.33203125" style="305" customWidth="1"/>
    <col min="10" max="10" width="8.6640625" style="305" customWidth="1"/>
    <col min="11" max="11" width="10.109375" style="305" customWidth="1"/>
    <col min="12" max="12" width="9" style="305" customWidth="1"/>
    <col min="13" max="13" width="12.33203125" style="305" customWidth="1"/>
    <col min="14" max="14" width="12.5546875" style="305" customWidth="1"/>
    <col min="15" max="15" width="14.5546875" style="305" customWidth="1"/>
    <col min="16" max="16" width="14" style="305" customWidth="1"/>
    <col min="17" max="17" width="17.44140625" style="305" customWidth="1"/>
    <col min="18" max="18" width="14.88671875" style="305" customWidth="1"/>
    <col min="19" max="19" width="17.6640625" style="305" customWidth="1"/>
    <col min="20" max="20" width="14" style="305" customWidth="1"/>
    <col min="21" max="21" width="15.33203125" style="305" customWidth="1"/>
    <col min="22" max="22" width="13.33203125" style="305" customWidth="1"/>
    <col min="23" max="23" width="14.88671875" style="305" customWidth="1"/>
    <col min="24" max="24" width="14" style="305" customWidth="1"/>
    <col min="25" max="25" width="12.5546875" style="305" customWidth="1"/>
    <col min="26" max="26" width="12.33203125" style="305" customWidth="1"/>
    <col min="27" max="27" width="14.5546875" style="305" customWidth="1"/>
    <col min="28" max="28" width="14.44140625" style="305" customWidth="1"/>
    <col min="29" max="29" width="16.109375" style="305" customWidth="1"/>
    <col min="30" max="30" width="14.5546875" style="305" customWidth="1"/>
    <col min="31" max="31" width="17" style="305" customWidth="1"/>
    <col min="32" max="32" width="14" style="305" customWidth="1"/>
    <col min="33" max="33" width="24" style="246" hidden="1" customWidth="1"/>
    <col min="34" max="34" width="20.6640625" style="246" hidden="1" customWidth="1"/>
    <col min="35" max="16384" width="9.109375" style="305"/>
  </cols>
  <sheetData>
    <row r="1" spans="1:34" ht="18.75" customHeight="1"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413" t="s">
        <v>345</v>
      </c>
      <c r="AE1" s="413"/>
      <c r="AF1" s="413"/>
    </row>
    <row r="2" spans="1:34" ht="18.75" customHeight="1">
      <c r="C2" s="62" t="s">
        <v>336</v>
      </c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0"/>
      <c r="AD2" s="120"/>
      <c r="AE2" s="120"/>
      <c r="AF2" s="120"/>
    </row>
    <row r="3" spans="1:34">
      <c r="A3" s="121"/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  <c r="AE3" s="121"/>
      <c r="AF3" s="122" t="s">
        <v>423</v>
      </c>
    </row>
    <row r="4" spans="1:34" ht="45.75" customHeight="1">
      <c r="A4" s="581" t="s">
        <v>47</v>
      </c>
      <c r="B4" s="583" t="s">
        <v>118</v>
      </c>
      <c r="C4" s="584"/>
      <c r="D4" s="512" t="s">
        <v>779</v>
      </c>
      <c r="E4" s="513"/>
      <c r="F4" s="513"/>
      <c r="G4" s="512" t="s">
        <v>182</v>
      </c>
      <c r="H4" s="513"/>
      <c r="I4" s="513"/>
      <c r="J4" s="513"/>
      <c r="K4" s="513"/>
      <c r="L4" s="513"/>
      <c r="M4" s="513"/>
      <c r="N4" s="513"/>
      <c r="O4" s="513"/>
      <c r="P4" s="513"/>
      <c r="Q4" s="514"/>
      <c r="R4" s="479" t="s">
        <v>119</v>
      </c>
      <c r="S4" s="510"/>
      <c r="T4" s="510"/>
      <c r="U4" s="510"/>
      <c r="V4" s="510"/>
      <c r="W4" s="510"/>
      <c r="X4" s="510"/>
      <c r="Y4" s="510"/>
      <c r="Z4" s="480"/>
      <c r="AA4" s="389" t="s">
        <v>313</v>
      </c>
      <c r="AB4" s="391"/>
      <c r="AC4" s="391"/>
      <c r="AD4" s="389" t="s">
        <v>314</v>
      </c>
      <c r="AE4" s="391"/>
      <c r="AF4" s="391"/>
    </row>
    <row r="5" spans="1:34" ht="77.25" customHeight="1">
      <c r="A5" s="582"/>
      <c r="B5" s="585"/>
      <c r="C5" s="586"/>
      <c r="D5" s="515"/>
      <c r="E5" s="516"/>
      <c r="F5" s="516"/>
      <c r="G5" s="515"/>
      <c r="H5" s="516"/>
      <c r="I5" s="516"/>
      <c r="J5" s="516"/>
      <c r="K5" s="516"/>
      <c r="L5" s="516"/>
      <c r="M5" s="516"/>
      <c r="N5" s="516"/>
      <c r="O5" s="516"/>
      <c r="P5" s="516"/>
      <c r="Q5" s="517"/>
      <c r="R5" s="493" t="s">
        <v>709</v>
      </c>
      <c r="S5" s="495"/>
      <c r="T5" s="494"/>
      <c r="U5" s="493" t="s">
        <v>710</v>
      </c>
      <c r="V5" s="495"/>
      <c r="W5" s="494"/>
      <c r="X5" s="493" t="s">
        <v>711</v>
      </c>
      <c r="Y5" s="495"/>
      <c r="Z5" s="494"/>
      <c r="AA5" s="391"/>
      <c r="AB5" s="391"/>
      <c r="AC5" s="391"/>
      <c r="AD5" s="391"/>
      <c r="AE5" s="391"/>
      <c r="AF5" s="391"/>
    </row>
    <row r="6" spans="1:34" ht="28.5" customHeight="1">
      <c r="A6" s="292">
        <v>1</v>
      </c>
      <c r="B6" s="589">
        <v>2</v>
      </c>
      <c r="C6" s="590"/>
      <c r="D6" s="493">
        <v>3</v>
      </c>
      <c r="E6" s="495"/>
      <c r="F6" s="495"/>
      <c r="G6" s="493">
        <v>4</v>
      </c>
      <c r="H6" s="495"/>
      <c r="I6" s="495"/>
      <c r="J6" s="495"/>
      <c r="K6" s="495"/>
      <c r="L6" s="495"/>
      <c r="M6" s="495"/>
      <c r="N6" s="495"/>
      <c r="O6" s="495"/>
      <c r="P6" s="495"/>
      <c r="Q6" s="494"/>
      <c r="R6" s="493">
        <v>5</v>
      </c>
      <c r="S6" s="495"/>
      <c r="T6" s="494"/>
      <c r="U6" s="493">
        <v>6</v>
      </c>
      <c r="V6" s="495"/>
      <c r="W6" s="494"/>
      <c r="X6" s="479">
        <v>7</v>
      </c>
      <c r="Y6" s="510"/>
      <c r="Z6" s="480"/>
      <c r="AA6" s="479">
        <v>8</v>
      </c>
      <c r="AB6" s="510"/>
      <c r="AC6" s="480"/>
      <c r="AD6" s="479">
        <v>9</v>
      </c>
      <c r="AE6" s="510"/>
      <c r="AF6" s="480"/>
    </row>
    <row r="7" spans="1:34" ht="28.5" customHeight="1">
      <c r="A7" s="292"/>
      <c r="B7" s="536" t="s">
        <v>619</v>
      </c>
      <c r="C7" s="537"/>
      <c r="D7" s="575">
        <v>39903</v>
      </c>
      <c r="E7" s="576"/>
      <c r="F7" s="577"/>
      <c r="G7" s="493" t="s">
        <v>623</v>
      </c>
      <c r="H7" s="495"/>
      <c r="I7" s="495"/>
      <c r="J7" s="495"/>
      <c r="K7" s="495"/>
      <c r="L7" s="495"/>
      <c r="M7" s="495"/>
      <c r="N7" s="495"/>
      <c r="O7" s="495"/>
      <c r="P7" s="495"/>
      <c r="Q7" s="494"/>
      <c r="R7" s="557">
        <v>217</v>
      </c>
      <c r="S7" s="558"/>
      <c r="T7" s="559"/>
      <c r="U7" s="469">
        <v>307</v>
      </c>
      <c r="V7" s="478"/>
      <c r="W7" s="470"/>
      <c r="X7" s="578">
        <v>349</v>
      </c>
      <c r="Y7" s="579"/>
      <c r="Z7" s="580"/>
      <c r="AA7" s="469">
        <f t="shared" ref="AA7:AA8" si="0">X7-U7</f>
        <v>42</v>
      </c>
      <c r="AB7" s="478"/>
      <c r="AC7" s="470"/>
      <c r="AD7" s="572">
        <f t="shared" ref="AD7:AD8" si="1">IF(U7=0,0,X7/U7*100)</f>
        <v>113.68078175895766</v>
      </c>
      <c r="AE7" s="573"/>
      <c r="AF7" s="574"/>
    </row>
    <row r="8" spans="1:34" ht="28.5" customHeight="1">
      <c r="A8" s="292"/>
      <c r="B8" s="536" t="s">
        <v>620</v>
      </c>
      <c r="C8" s="537"/>
      <c r="D8" s="575">
        <v>41578</v>
      </c>
      <c r="E8" s="576"/>
      <c r="F8" s="577"/>
      <c r="G8" s="493" t="s">
        <v>623</v>
      </c>
      <c r="H8" s="495"/>
      <c r="I8" s="495"/>
      <c r="J8" s="495"/>
      <c r="K8" s="495"/>
      <c r="L8" s="495"/>
      <c r="M8" s="495"/>
      <c r="N8" s="495"/>
      <c r="O8" s="495"/>
      <c r="P8" s="495"/>
      <c r="Q8" s="494"/>
      <c r="R8" s="557">
        <v>367</v>
      </c>
      <c r="S8" s="558"/>
      <c r="T8" s="559"/>
      <c r="U8" s="469">
        <v>475</v>
      </c>
      <c r="V8" s="478"/>
      <c r="W8" s="470"/>
      <c r="X8" s="578">
        <v>434</v>
      </c>
      <c r="Y8" s="579"/>
      <c r="Z8" s="580"/>
      <c r="AA8" s="469">
        <f t="shared" si="0"/>
        <v>-41</v>
      </c>
      <c r="AB8" s="478"/>
      <c r="AC8" s="470"/>
      <c r="AD8" s="572">
        <f t="shared" si="1"/>
        <v>91.368421052631575</v>
      </c>
      <c r="AE8" s="573"/>
      <c r="AF8" s="574"/>
    </row>
    <row r="9" spans="1:34" ht="34.5" customHeight="1">
      <c r="A9" s="292"/>
      <c r="B9" s="536" t="s">
        <v>621</v>
      </c>
      <c r="C9" s="537"/>
      <c r="D9" s="575">
        <v>42881</v>
      </c>
      <c r="E9" s="576"/>
      <c r="F9" s="577"/>
      <c r="G9" s="493" t="s">
        <v>623</v>
      </c>
      <c r="H9" s="495"/>
      <c r="I9" s="495"/>
      <c r="J9" s="495"/>
      <c r="K9" s="495"/>
      <c r="L9" s="495"/>
      <c r="M9" s="495"/>
      <c r="N9" s="495"/>
      <c r="O9" s="495"/>
      <c r="P9" s="495"/>
      <c r="Q9" s="494"/>
      <c r="R9" s="557">
        <v>112</v>
      </c>
      <c r="S9" s="558"/>
      <c r="T9" s="559"/>
      <c r="U9" s="469">
        <v>508</v>
      </c>
      <c r="V9" s="478"/>
      <c r="W9" s="470"/>
      <c r="X9" s="469">
        <v>91</v>
      </c>
      <c r="Y9" s="478"/>
      <c r="Z9" s="470"/>
      <c r="AA9" s="469">
        <f>X9-U9</f>
        <v>-417</v>
      </c>
      <c r="AB9" s="478"/>
      <c r="AC9" s="470"/>
      <c r="AD9" s="572">
        <f>IF(U9=0,0,X9/U9*100)</f>
        <v>17.913385826771652</v>
      </c>
      <c r="AE9" s="573"/>
      <c r="AF9" s="574"/>
    </row>
    <row r="10" spans="1:34" ht="34.5" customHeight="1">
      <c r="A10" s="292"/>
      <c r="B10" s="536" t="s">
        <v>622</v>
      </c>
      <c r="C10" s="537"/>
      <c r="D10" s="575">
        <v>43404</v>
      </c>
      <c r="E10" s="576"/>
      <c r="F10" s="577"/>
      <c r="G10" s="493" t="s">
        <v>623</v>
      </c>
      <c r="H10" s="495"/>
      <c r="I10" s="495"/>
      <c r="J10" s="495"/>
      <c r="K10" s="495"/>
      <c r="L10" s="495"/>
      <c r="M10" s="495"/>
      <c r="N10" s="495"/>
      <c r="O10" s="495"/>
      <c r="P10" s="495"/>
      <c r="Q10" s="494"/>
      <c r="R10" s="557">
        <v>210</v>
      </c>
      <c r="S10" s="558"/>
      <c r="T10" s="559"/>
      <c r="U10" s="469">
        <v>306</v>
      </c>
      <c r="V10" s="478"/>
      <c r="W10" s="470"/>
      <c r="X10" s="469">
        <v>228</v>
      </c>
      <c r="Y10" s="478"/>
      <c r="Z10" s="470"/>
      <c r="AA10" s="469">
        <f t="shared" ref="AA10:AA11" si="2">X10-U10</f>
        <v>-78</v>
      </c>
      <c r="AB10" s="478"/>
      <c r="AC10" s="470"/>
      <c r="AD10" s="572">
        <f t="shared" ref="AD10:AD11" si="3">IF(U10=0,0,X10/U10*100)</f>
        <v>74.509803921568633</v>
      </c>
      <c r="AE10" s="573"/>
      <c r="AF10" s="574"/>
    </row>
    <row r="11" spans="1:34" ht="37.5" customHeight="1">
      <c r="A11" s="540" t="s">
        <v>50</v>
      </c>
      <c r="B11" s="541"/>
      <c r="C11" s="541"/>
      <c r="D11" s="541"/>
      <c r="E11" s="541"/>
      <c r="F11" s="541"/>
      <c r="G11" s="541"/>
      <c r="H11" s="541"/>
      <c r="I11" s="541"/>
      <c r="J11" s="541"/>
      <c r="K11" s="541"/>
      <c r="L11" s="541"/>
      <c r="M11" s="541"/>
      <c r="N11" s="541"/>
      <c r="O11" s="541"/>
      <c r="P11" s="541"/>
      <c r="Q11" s="542"/>
      <c r="R11" s="545">
        <f>SUM(R7:T10)</f>
        <v>906</v>
      </c>
      <c r="S11" s="546"/>
      <c r="T11" s="547"/>
      <c r="U11" s="481">
        <f>SUM(U7:W10)</f>
        <v>1596</v>
      </c>
      <c r="V11" s="503"/>
      <c r="W11" s="482"/>
      <c r="X11" s="481">
        <f>SUM(X7:Z10)</f>
        <v>1102</v>
      </c>
      <c r="Y11" s="503"/>
      <c r="Z11" s="482"/>
      <c r="AA11" s="481">
        <f t="shared" si="2"/>
        <v>-494</v>
      </c>
      <c r="AB11" s="503"/>
      <c r="AC11" s="482"/>
      <c r="AD11" s="607">
        <f t="shared" si="3"/>
        <v>69.047619047619051</v>
      </c>
      <c r="AE11" s="608"/>
      <c r="AF11" s="609"/>
    </row>
    <row r="12" spans="1:34" ht="11.25" customHeight="1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24"/>
      <c r="AF12" s="24"/>
    </row>
    <row r="13" spans="1:34" ht="10.5" customHeight="1">
      <c r="A13" s="25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6"/>
      <c r="O13" s="26"/>
      <c r="P13" s="26"/>
      <c r="Q13" s="26"/>
      <c r="R13" s="27"/>
      <c r="S13" s="27"/>
      <c r="T13" s="27"/>
      <c r="U13" s="27"/>
      <c r="V13" s="27"/>
      <c r="W13" s="27"/>
      <c r="X13" s="28"/>
      <c r="Y13" s="28"/>
      <c r="Z13" s="28"/>
      <c r="AA13" s="28"/>
      <c r="AB13" s="28"/>
      <c r="AC13" s="28"/>
      <c r="AD13" s="28"/>
      <c r="AE13" s="29"/>
      <c r="AF13" s="29"/>
    </row>
    <row r="14" spans="1:34" s="30" customFormat="1" ht="18.75" customHeight="1">
      <c r="C14" s="62" t="s">
        <v>337</v>
      </c>
      <c r="AG14" s="247"/>
      <c r="AH14" s="247"/>
    </row>
    <row r="15" spans="1:34" s="30" customFormat="1" ht="18.75" customHeight="1">
      <c r="AF15" s="18"/>
      <c r="AG15" s="247"/>
      <c r="AH15" s="247"/>
    </row>
    <row r="16" spans="1:34" ht="45.75" customHeight="1">
      <c r="A16" s="430" t="s">
        <v>47</v>
      </c>
      <c r="B16" s="583" t="s">
        <v>120</v>
      </c>
      <c r="C16" s="584"/>
      <c r="D16" s="389" t="s">
        <v>118</v>
      </c>
      <c r="E16" s="389"/>
      <c r="F16" s="389"/>
      <c r="G16" s="389"/>
      <c r="H16" s="512" t="s">
        <v>182</v>
      </c>
      <c r="I16" s="513"/>
      <c r="J16" s="513"/>
      <c r="K16" s="513"/>
      <c r="L16" s="513"/>
      <c r="M16" s="513"/>
      <c r="N16" s="513"/>
      <c r="O16" s="514"/>
      <c r="P16" s="512" t="s">
        <v>278</v>
      </c>
      <c r="Q16" s="514"/>
      <c r="R16" s="479" t="s">
        <v>119</v>
      </c>
      <c r="S16" s="510"/>
      <c r="T16" s="510"/>
      <c r="U16" s="510"/>
      <c r="V16" s="510"/>
      <c r="W16" s="510"/>
      <c r="X16" s="510"/>
      <c r="Y16" s="510"/>
      <c r="Z16" s="480"/>
      <c r="AA16" s="389" t="s">
        <v>313</v>
      </c>
      <c r="AB16" s="391"/>
      <c r="AC16" s="391"/>
      <c r="AD16" s="389" t="s">
        <v>314</v>
      </c>
      <c r="AE16" s="391"/>
      <c r="AF16" s="391"/>
    </row>
    <row r="17" spans="1:34" ht="24.9" customHeight="1">
      <c r="A17" s="430"/>
      <c r="B17" s="587"/>
      <c r="C17" s="588"/>
      <c r="D17" s="389"/>
      <c r="E17" s="389"/>
      <c r="F17" s="389"/>
      <c r="G17" s="389"/>
      <c r="H17" s="526"/>
      <c r="I17" s="405"/>
      <c r="J17" s="405"/>
      <c r="K17" s="405"/>
      <c r="L17" s="405"/>
      <c r="M17" s="405"/>
      <c r="N17" s="405"/>
      <c r="O17" s="527"/>
      <c r="P17" s="526"/>
      <c r="Q17" s="527"/>
      <c r="R17" s="512" t="s">
        <v>712</v>
      </c>
      <c r="S17" s="513"/>
      <c r="T17" s="514"/>
      <c r="U17" s="512" t="s">
        <v>710</v>
      </c>
      <c r="V17" s="513"/>
      <c r="W17" s="514"/>
      <c r="X17" s="512" t="s">
        <v>711</v>
      </c>
      <c r="Y17" s="594"/>
      <c r="Z17" s="595"/>
      <c r="AA17" s="391"/>
      <c r="AB17" s="391"/>
      <c r="AC17" s="391"/>
      <c r="AD17" s="391"/>
      <c r="AE17" s="391"/>
      <c r="AF17" s="391"/>
    </row>
    <row r="18" spans="1:34" ht="48" customHeight="1">
      <c r="A18" s="430"/>
      <c r="B18" s="585"/>
      <c r="C18" s="586"/>
      <c r="D18" s="389"/>
      <c r="E18" s="389"/>
      <c r="F18" s="389"/>
      <c r="G18" s="389"/>
      <c r="H18" s="515"/>
      <c r="I18" s="516"/>
      <c r="J18" s="516"/>
      <c r="K18" s="516"/>
      <c r="L18" s="516"/>
      <c r="M18" s="516"/>
      <c r="N18" s="516"/>
      <c r="O18" s="517"/>
      <c r="P18" s="515"/>
      <c r="Q18" s="517"/>
      <c r="R18" s="515"/>
      <c r="S18" s="516"/>
      <c r="T18" s="517"/>
      <c r="U18" s="515"/>
      <c r="V18" s="516"/>
      <c r="W18" s="517"/>
      <c r="X18" s="596"/>
      <c r="Y18" s="597"/>
      <c r="Z18" s="598"/>
      <c r="AA18" s="391"/>
      <c r="AB18" s="391"/>
      <c r="AC18" s="391"/>
      <c r="AD18" s="391"/>
      <c r="AE18" s="391"/>
      <c r="AF18" s="391"/>
    </row>
    <row r="19" spans="1:34" ht="28.5" customHeight="1">
      <c r="A19" s="292">
        <v>1</v>
      </c>
      <c r="B19" s="589">
        <v>2</v>
      </c>
      <c r="C19" s="590"/>
      <c r="D19" s="389">
        <v>3</v>
      </c>
      <c r="E19" s="389"/>
      <c r="F19" s="389"/>
      <c r="G19" s="389"/>
      <c r="H19" s="493">
        <v>4</v>
      </c>
      <c r="I19" s="495"/>
      <c r="J19" s="495"/>
      <c r="K19" s="495"/>
      <c r="L19" s="495"/>
      <c r="M19" s="495"/>
      <c r="N19" s="495"/>
      <c r="O19" s="494"/>
      <c r="P19" s="493">
        <v>5</v>
      </c>
      <c r="Q19" s="494"/>
      <c r="R19" s="493">
        <v>6</v>
      </c>
      <c r="S19" s="495"/>
      <c r="T19" s="494"/>
      <c r="U19" s="493">
        <v>7</v>
      </c>
      <c r="V19" s="495"/>
      <c r="W19" s="494"/>
      <c r="X19" s="493">
        <v>8</v>
      </c>
      <c r="Y19" s="495"/>
      <c r="Z19" s="494"/>
      <c r="AA19" s="493">
        <v>9</v>
      </c>
      <c r="AB19" s="495"/>
      <c r="AC19" s="494"/>
      <c r="AD19" s="493">
        <v>10</v>
      </c>
      <c r="AE19" s="495"/>
      <c r="AF19" s="494"/>
    </row>
    <row r="20" spans="1:34" ht="30.75" customHeight="1">
      <c r="A20" s="312"/>
      <c r="B20" s="538"/>
      <c r="C20" s="539"/>
      <c r="D20" s="389"/>
      <c r="E20" s="389"/>
      <c r="F20" s="389"/>
      <c r="G20" s="389"/>
      <c r="H20" s="523"/>
      <c r="I20" s="524"/>
      <c r="J20" s="524"/>
      <c r="K20" s="524"/>
      <c r="L20" s="524"/>
      <c r="M20" s="524"/>
      <c r="N20" s="524"/>
      <c r="O20" s="525"/>
      <c r="P20" s="560"/>
      <c r="Q20" s="561"/>
      <c r="R20" s="557"/>
      <c r="S20" s="558"/>
      <c r="T20" s="559"/>
      <c r="U20" s="557"/>
      <c r="V20" s="558"/>
      <c r="W20" s="559"/>
      <c r="X20" s="557"/>
      <c r="Y20" s="558"/>
      <c r="Z20" s="559"/>
      <c r="AA20" s="557">
        <f>X20-U20</f>
        <v>0</v>
      </c>
      <c r="AB20" s="558"/>
      <c r="AC20" s="559"/>
      <c r="AD20" s="557">
        <f>IF(U20=0,0,X20/U20*100)</f>
        <v>0</v>
      </c>
      <c r="AE20" s="558"/>
      <c r="AF20" s="559"/>
    </row>
    <row r="21" spans="1:34" ht="30.75" customHeight="1">
      <c r="A21" s="312"/>
      <c r="B21" s="538"/>
      <c r="C21" s="539"/>
      <c r="D21" s="389"/>
      <c r="E21" s="389"/>
      <c r="F21" s="389"/>
      <c r="G21" s="389"/>
      <c r="H21" s="523"/>
      <c r="I21" s="524"/>
      <c r="J21" s="524"/>
      <c r="K21" s="524"/>
      <c r="L21" s="524"/>
      <c r="M21" s="524"/>
      <c r="N21" s="524"/>
      <c r="O21" s="525"/>
      <c r="P21" s="560"/>
      <c r="Q21" s="561"/>
      <c r="R21" s="557"/>
      <c r="S21" s="558"/>
      <c r="T21" s="559"/>
      <c r="U21" s="557"/>
      <c r="V21" s="558"/>
      <c r="W21" s="559"/>
      <c r="X21" s="557"/>
      <c r="Y21" s="558"/>
      <c r="Z21" s="559"/>
      <c r="AA21" s="557">
        <f t="shared" ref="AA21:AA22" si="4">X21-U21</f>
        <v>0</v>
      </c>
      <c r="AB21" s="558"/>
      <c r="AC21" s="559"/>
      <c r="AD21" s="557">
        <f t="shared" ref="AD21:AD22" si="5">IF(U21=0,0,X21/U21*100)</f>
        <v>0</v>
      </c>
      <c r="AE21" s="558"/>
      <c r="AF21" s="559"/>
    </row>
    <row r="22" spans="1:34" ht="38.25" customHeight="1">
      <c r="A22" s="540" t="s">
        <v>50</v>
      </c>
      <c r="B22" s="541"/>
      <c r="C22" s="541"/>
      <c r="D22" s="541"/>
      <c r="E22" s="541"/>
      <c r="F22" s="541"/>
      <c r="G22" s="541"/>
      <c r="H22" s="541"/>
      <c r="I22" s="541"/>
      <c r="J22" s="541"/>
      <c r="K22" s="541"/>
      <c r="L22" s="541"/>
      <c r="M22" s="541"/>
      <c r="N22" s="541"/>
      <c r="O22" s="541"/>
      <c r="P22" s="541"/>
      <c r="Q22" s="542"/>
      <c r="R22" s="545">
        <f>SUM(R20:T21)</f>
        <v>0</v>
      </c>
      <c r="S22" s="546"/>
      <c r="T22" s="547"/>
      <c r="U22" s="545">
        <f t="shared" ref="U22" si="6">SUM(U20:W21)</f>
        <v>0</v>
      </c>
      <c r="V22" s="546"/>
      <c r="W22" s="547"/>
      <c r="X22" s="545">
        <f t="shared" ref="X22" si="7">SUM(X20:Z21)</f>
        <v>0</v>
      </c>
      <c r="Y22" s="546"/>
      <c r="Z22" s="547"/>
      <c r="AA22" s="545">
        <f t="shared" si="4"/>
        <v>0</v>
      </c>
      <c r="AB22" s="546"/>
      <c r="AC22" s="547"/>
      <c r="AD22" s="545">
        <f t="shared" si="5"/>
        <v>0</v>
      </c>
      <c r="AE22" s="546"/>
      <c r="AF22" s="547"/>
    </row>
    <row r="23" spans="1:34" ht="21">
      <c r="A23" s="299"/>
      <c r="B23" s="299"/>
      <c r="C23" s="299"/>
      <c r="D23" s="299"/>
      <c r="E23" s="299"/>
      <c r="F23" s="299"/>
      <c r="G23" s="299"/>
      <c r="H23" s="299"/>
      <c r="I23" s="299"/>
      <c r="J23" s="299"/>
      <c r="K23" s="299"/>
      <c r="L23" s="299"/>
      <c r="M23" s="299"/>
      <c r="N23" s="299"/>
      <c r="O23" s="299"/>
      <c r="P23" s="299"/>
      <c r="Q23" s="52"/>
      <c r="R23" s="309"/>
      <c r="S23" s="309"/>
      <c r="T23" s="309"/>
      <c r="U23" s="309"/>
      <c r="V23" s="309"/>
      <c r="W23" s="52"/>
      <c r="X23" s="52"/>
      <c r="Y23" s="52"/>
      <c r="Z23" s="52"/>
      <c r="AA23" s="52"/>
      <c r="AB23" s="52"/>
      <c r="AC23" s="52"/>
      <c r="AD23" s="52"/>
      <c r="AE23" s="52"/>
      <c r="AF23" s="309"/>
    </row>
    <row r="24" spans="1:34" ht="16.5" customHeight="1">
      <c r="A24" s="299"/>
      <c r="B24" s="299"/>
      <c r="C24" s="299"/>
      <c r="D24" s="299"/>
      <c r="E24" s="299"/>
      <c r="F24" s="299"/>
      <c r="G24" s="299"/>
      <c r="H24" s="299"/>
      <c r="I24" s="299"/>
      <c r="J24" s="299"/>
      <c r="K24" s="299"/>
      <c r="L24" s="299"/>
      <c r="M24" s="299"/>
      <c r="N24" s="299"/>
      <c r="O24" s="299"/>
      <c r="P24" s="299"/>
      <c r="Q24" s="52"/>
      <c r="R24" s="309"/>
      <c r="S24" s="309"/>
      <c r="T24" s="309"/>
      <c r="U24" s="309"/>
      <c r="V24" s="309"/>
      <c r="W24" s="52"/>
      <c r="X24" s="52"/>
      <c r="Y24" s="52"/>
      <c r="Z24" s="52"/>
      <c r="AA24" s="52"/>
      <c r="AB24" s="52"/>
      <c r="AC24" s="52"/>
      <c r="AD24" s="52"/>
      <c r="AE24" s="52"/>
      <c r="AF24" s="309"/>
    </row>
    <row r="25" spans="1:34" s="30" customFormat="1" ht="18.75" customHeight="1">
      <c r="A25" s="61"/>
      <c r="B25" s="61"/>
      <c r="C25" s="61" t="s">
        <v>429</v>
      </c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247"/>
      <c r="AH25" s="247"/>
    </row>
    <row r="26" spans="1:34" ht="21">
      <c r="A26" s="63"/>
      <c r="B26" s="63"/>
      <c r="C26" s="63"/>
      <c r="D26" s="63"/>
      <c r="E26" s="63"/>
      <c r="F26" s="63"/>
      <c r="G26" s="63"/>
      <c r="H26" s="63"/>
      <c r="I26" s="311"/>
      <c r="J26" s="311"/>
      <c r="K26" s="311"/>
      <c r="L26" s="311"/>
      <c r="M26" s="311"/>
      <c r="N26" s="311"/>
      <c r="O26" s="311"/>
      <c r="P26" s="311"/>
      <c r="Q26" s="311"/>
      <c r="R26" s="311"/>
      <c r="S26" s="311"/>
      <c r="T26" s="311"/>
      <c r="U26" s="311"/>
      <c r="V26" s="311"/>
      <c r="W26" s="63"/>
      <c r="X26" s="52"/>
      <c r="Y26" s="52"/>
      <c r="Z26" s="456"/>
      <c r="AA26" s="456"/>
      <c r="AB26" s="456"/>
      <c r="AC26" s="52"/>
      <c r="AD26" s="456" t="s">
        <v>315</v>
      </c>
      <c r="AE26" s="456"/>
      <c r="AF26" s="456"/>
    </row>
    <row r="27" spans="1:34" s="52" customFormat="1" ht="42" customHeight="1">
      <c r="A27" s="581" t="s">
        <v>47</v>
      </c>
      <c r="B27" s="583" t="s">
        <v>140</v>
      </c>
      <c r="C27" s="604"/>
      <c r="D27" s="604"/>
      <c r="E27" s="604"/>
      <c r="F27" s="604"/>
      <c r="G27" s="604"/>
      <c r="H27" s="604"/>
      <c r="I27" s="604"/>
      <c r="J27" s="604"/>
      <c r="K27" s="604"/>
      <c r="L27" s="584"/>
      <c r="M27" s="528" t="s">
        <v>49</v>
      </c>
      <c r="N27" s="529"/>
      <c r="O27" s="529"/>
      <c r="P27" s="530"/>
      <c r="Q27" s="528" t="s">
        <v>72</v>
      </c>
      <c r="R27" s="529"/>
      <c r="S27" s="529"/>
      <c r="T27" s="530"/>
      <c r="U27" s="528" t="s">
        <v>164</v>
      </c>
      <c r="V27" s="529"/>
      <c r="W27" s="529"/>
      <c r="X27" s="530"/>
      <c r="Y27" s="528" t="s">
        <v>430</v>
      </c>
      <c r="Z27" s="529"/>
      <c r="AA27" s="529"/>
      <c r="AB27" s="530"/>
      <c r="AC27" s="528" t="s">
        <v>50</v>
      </c>
      <c r="AD27" s="529"/>
      <c r="AE27" s="529"/>
      <c r="AF27" s="530"/>
      <c r="AG27" s="265" t="s">
        <v>72</v>
      </c>
      <c r="AH27" s="253"/>
    </row>
    <row r="28" spans="1:34" s="52" customFormat="1" ht="34.5" customHeight="1">
      <c r="A28" s="603"/>
      <c r="B28" s="587"/>
      <c r="C28" s="605"/>
      <c r="D28" s="605"/>
      <c r="E28" s="605"/>
      <c r="F28" s="605"/>
      <c r="G28" s="605"/>
      <c r="H28" s="605"/>
      <c r="I28" s="605"/>
      <c r="J28" s="605"/>
      <c r="K28" s="605"/>
      <c r="L28" s="588"/>
      <c r="M28" s="531" t="s">
        <v>138</v>
      </c>
      <c r="N28" s="531" t="s">
        <v>139</v>
      </c>
      <c r="O28" s="531" t="s">
        <v>149</v>
      </c>
      <c r="P28" s="531" t="s">
        <v>150</v>
      </c>
      <c r="Q28" s="531" t="s">
        <v>138</v>
      </c>
      <c r="R28" s="531" t="s">
        <v>139</v>
      </c>
      <c r="S28" s="531" t="s">
        <v>149</v>
      </c>
      <c r="T28" s="531" t="s">
        <v>150</v>
      </c>
      <c r="U28" s="531" t="s">
        <v>138</v>
      </c>
      <c r="V28" s="531" t="s">
        <v>139</v>
      </c>
      <c r="W28" s="531" t="s">
        <v>149</v>
      </c>
      <c r="X28" s="531" t="s">
        <v>150</v>
      </c>
      <c r="Y28" s="531" t="s">
        <v>138</v>
      </c>
      <c r="Z28" s="531" t="s">
        <v>139</v>
      </c>
      <c r="AA28" s="531" t="s">
        <v>149</v>
      </c>
      <c r="AB28" s="531" t="s">
        <v>150</v>
      </c>
      <c r="AC28" s="531" t="s">
        <v>138</v>
      </c>
      <c r="AD28" s="531" t="s">
        <v>139</v>
      </c>
      <c r="AE28" s="531" t="s">
        <v>149</v>
      </c>
      <c r="AF28" s="531" t="s">
        <v>150</v>
      </c>
      <c r="AG28" s="265" t="s">
        <v>686</v>
      </c>
      <c r="AH28" s="265" t="s">
        <v>687</v>
      </c>
    </row>
    <row r="29" spans="1:34" s="52" customFormat="1" ht="24.9" customHeight="1">
      <c r="A29" s="582"/>
      <c r="B29" s="585"/>
      <c r="C29" s="606"/>
      <c r="D29" s="606"/>
      <c r="E29" s="606"/>
      <c r="F29" s="606"/>
      <c r="G29" s="606"/>
      <c r="H29" s="606"/>
      <c r="I29" s="606"/>
      <c r="J29" s="606"/>
      <c r="K29" s="606"/>
      <c r="L29" s="586"/>
      <c r="M29" s="532"/>
      <c r="N29" s="532"/>
      <c r="O29" s="532"/>
      <c r="P29" s="532"/>
      <c r="Q29" s="532"/>
      <c r="R29" s="532"/>
      <c r="S29" s="532"/>
      <c r="T29" s="532"/>
      <c r="U29" s="532"/>
      <c r="V29" s="532"/>
      <c r="W29" s="532"/>
      <c r="X29" s="532"/>
      <c r="Y29" s="532"/>
      <c r="Z29" s="532"/>
      <c r="AA29" s="532"/>
      <c r="AB29" s="532"/>
      <c r="AC29" s="532"/>
      <c r="AD29" s="532"/>
      <c r="AE29" s="532"/>
      <c r="AF29" s="532"/>
      <c r="AG29" s="265"/>
      <c r="AH29" s="253"/>
    </row>
    <row r="30" spans="1:34" s="52" customFormat="1" ht="33.75" customHeight="1">
      <c r="A30" s="312">
        <v>1</v>
      </c>
      <c r="B30" s="548">
        <v>2</v>
      </c>
      <c r="C30" s="548"/>
      <c r="D30" s="548"/>
      <c r="E30" s="548"/>
      <c r="F30" s="548"/>
      <c r="G30" s="548"/>
      <c r="H30" s="548"/>
      <c r="I30" s="548"/>
      <c r="J30" s="548"/>
      <c r="K30" s="548"/>
      <c r="L30" s="548"/>
      <c r="M30" s="307">
        <v>3</v>
      </c>
      <c r="N30" s="307">
        <v>4</v>
      </c>
      <c r="O30" s="307">
        <v>5</v>
      </c>
      <c r="P30" s="307">
        <v>6</v>
      </c>
      <c r="Q30" s="307">
        <v>7</v>
      </c>
      <c r="R30" s="307">
        <v>8</v>
      </c>
      <c r="S30" s="307">
        <v>9</v>
      </c>
      <c r="T30" s="307">
        <v>10</v>
      </c>
      <c r="U30" s="307">
        <v>11</v>
      </c>
      <c r="V30" s="307">
        <v>12</v>
      </c>
      <c r="W30" s="307">
        <v>13</v>
      </c>
      <c r="X30" s="307">
        <v>14</v>
      </c>
      <c r="Y30" s="307">
        <v>15</v>
      </c>
      <c r="Z30" s="307">
        <v>16</v>
      </c>
      <c r="AA30" s="307">
        <v>17</v>
      </c>
      <c r="AB30" s="307">
        <v>18</v>
      </c>
      <c r="AC30" s="307">
        <v>19</v>
      </c>
      <c r="AD30" s="307">
        <v>20</v>
      </c>
      <c r="AE30" s="307">
        <v>21</v>
      </c>
      <c r="AF30" s="307">
        <v>22</v>
      </c>
      <c r="AG30" s="265"/>
      <c r="AH30" s="253"/>
    </row>
    <row r="31" spans="1:34" s="187" customFormat="1" ht="20.399999999999999">
      <c r="A31" s="272">
        <v>1</v>
      </c>
      <c r="B31" s="533" t="s">
        <v>1</v>
      </c>
      <c r="C31" s="534"/>
      <c r="D31" s="534"/>
      <c r="E31" s="534"/>
      <c r="F31" s="534"/>
      <c r="G31" s="534"/>
      <c r="H31" s="534"/>
      <c r="I31" s="534"/>
      <c r="J31" s="534"/>
      <c r="K31" s="534"/>
      <c r="L31" s="535"/>
      <c r="M31" s="308"/>
      <c r="N31" s="308"/>
      <c r="O31" s="273">
        <f t="shared" ref="O31:O66" si="8">N31-M31</f>
        <v>0</v>
      </c>
      <c r="P31" s="274">
        <f t="shared" ref="P31:P66" si="9">IF(M31=0,0,N31/M31*100)</f>
        <v>0</v>
      </c>
      <c r="Q31" s="349">
        <f>Q32+Q33</f>
        <v>2781</v>
      </c>
      <c r="R31" s="349">
        <f>R32+R33</f>
        <v>2781</v>
      </c>
      <c r="S31" s="273">
        <f t="shared" ref="S31:S66" si="10">R31-Q31</f>
        <v>0</v>
      </c>
      <c r="T31" s="274">
        <f t="shared" ref="T31:T66" si="11">IF(Q31=0,0,R31/Q31*100)</f>
        <v>100</v>
      </c>
      <c r="U31" s="349">
        <f>U32+U33</f>
        <v>0</v>
      </c>
      <c r="V31" s="349">
        <f>V32+V33</f>
        <v>154</v>
      </c>
      <c r="W31" s="273">
        <f t="shared" ref="W31:W66" si="12">V31-U31</f>
        <v>154</v>
      </c>
      <c r="X31" s="274">
        <f t="shared" ref="X31:X66" si="13">IF(U31=0,0,V31/U31*100)</f>
        <v>0</v>
      </c>
      <c r="Y31" s="308"/>
      <c r="Z31" s="308"/>
      <c r="AA31" s="273">
        <f t="shared" ref="AA31:AA66" si="14">Z31-Y31</f>
        <v>0</v>
      </c>
      <c r="AB31" s="274">
        <f t="shared" ref="AB31:AB66" si="15">IF(Y31=0,0,Z31/Y31*100)</f>
        <v>0</v>
      </c>
      <c r="AC31" s="274">
        <f t="shared" ref="AC31:AC66" si="16">SUM(M31,Q31,U31,Y31)</f>
        <v>2781</v>
      </c>
      <c r="AD31" s="274">
        <f t="shared" ref="AD31:AD66" si="17">SUM(N31,R31,V31,Z31)</f>
        <v>2935</v>
      </c>
      <c r="AE31" s="273">
        <f t="shared" ref="AE31:AE66" si="18">AD31-AC31</f>
        <v>154</v>
      </c>
      <c r="AF31" s="274">
        <f t="shared" ref="AF31:AF66" si="19">IF(AC31=0,0,AD31/AC31*100)</f>
        <v>105.53757641136281</v>
      </c>
      <c r="AG31" s="275"/>
      <c r="AH31" s="275"/>
    </row>
    <row r="32" spans="1:34" s="52" customFormat="1" ht="21" customHeight="1">
      <c r="A32" s="312"/>
      <c r="B32" s="443" t="s">
        <v>729</v>
      </c>
      <c r="C32" s="549"/>
      <c r="D32" s="549"/>
      <c r="E32" s="549"/>
      <c r="F32" s="549"/>
      <c r="G32" s="549"/>
      <c r="H32" s="549"/>
      <c r="I32" s="549"/>
      <c r="J32" s="549"/>
      <c r="K32" s="549"/>
      <c r="L32" s="444"/>
      <c r="M32" s="307"/>
      <c r="N32" s="307"/>
      <c r="O32" s="71"/>
      <c r="P32" s="89"/>
      <c r="Q32" s="279">
        <v>2781</v>
      </c>
      <c r="R32" s="279">
        <v>2781</v>
      </c>
      <c r="S32" s="301">
        <f t="shared" ref="S32" si="20">R32-Q32</f>
        <v>0</v>
      </c>
      <c r="T32" s="243">
        <f t="shared" ref="T32" si="21">IF(Q32=0,0,R32/Q32*100)</f>
        <v>100</v>
      </c>
      <c r="U32" s="307"/>
      <c r="V32" s="307"/>
      <c r="W32" s="71"/>
      <c r="X32" s="89"/>
      <c r="Y32" s="307"/>
      <c r="Z32" s="307"/>
      <c r="AA32" s="71"/>
      <c r="AB32" s="89"/>
      <c r="AC32" s="257">
        <f>SUM(M32,Q32,U32,Y32)</f>
        <v>2781</v>
      </c>
      <c r="AD32" s="257">
        <f>SUM(N32,R32,V32,Z32)</f>
        <v>2781</v>
      </c>
      <c r="AE32" s="301">
        <f>AD32-AC32</f>
        <v>0</v>
      </c>
      <c r="AF32" s="243">
        <f>IF(AC32=0,0,AD32/AC32*100)</f>
        <v>100</v>
      </c>
      <c r="AG32" s="265"/>
      <c r="AH32" s="265"/>
    </row>
    <row r="33" spans="1:34" s="52" customFormat="1" ht="21" customHeight="1">
      <c r="A33" s="312"/>
      <c r="B33" s="443" t="s">
        <v>771</v>
      </c>
      <c r="C33" s="549"/>
      <c r="D33" s="549"/>
      <c r="E33" s="549"/>
      <c r="F33" s="549"/>
      <c r="G33" s="549"/>
      <c r="H33" s="549"/>
      <c r="I33" s="549"/>
      <c r="J33" s="549"/>
      <c r="K33" s="549"/>
      <c r="L33" s="444"/>
      <c r="M33" s="307"/>
      <c r="N33" s="307"/>
      <c r="O33" s="71"/>
      <c r="P33" s="89"/>
      <c r="Q33" s="279"/>
      <c r="R33" s="279"/>
      <c r="S33" s="301">
        <f t="shared" ref="S33" si="22">R33-Q33</f>
        <v>0</v>
      </c>
      <c r="T33" s="243">
        <f t="shared" ref="T33" si="23">IF(Q33=0,0,R33/Q33*100)</f>
        <v>0</v>
      </c>
      <c r="U33" s="307"/>
      <c r="V33" s="279">
        <v>154</v>
      </c>
      <c r="W33" s="301">
        <f>V33-U33</f>
        <v>154</v>
      </c>
      <c r="X33" s="243">
        <f>IF(U33=0,0,V33/U33*100)</f>
        <v>0</v>
      </c>
      <c r="Y33" s="307"/>
      <c r="Z33" s="307"/>
      <c r="AA33" s="71"/>
      <c r="AB33" s="89"/>
      <c r="AC33" s="257">
        <f>SUM(M33,Q33,U33,Y33)</f>
        <v>0</v>
      </c>
      <c r="AD33" s="257">
        <f>SUM(N33,R33,V33,Z33)</f>
        <v>154</v>
      </c>
      <c r="AE33" s="301">
        <f>AD33-AC33</f>
        <v>154</v>
      </c>
      <c r="AF33" s="243">
        <f>IF(AC33=0,0,AD33/AC33*100)</f>
        <v>0</v>
      </c>
      <c r="AG33" s="265"/>
      <c r="AH33" s="265"/>
    </row>
    <row r="34" spans="1:34" s="187" customFormat="1" ht="20.399999999999999">
      <c r="A34" s="272">
        <v>2</v>
      </c>
      <c r="B34" s="533" t="s">
        <v>780</v>
      </c>
      <c r="C34" s="534"/>
      <c r="D34" s="534"/>
      <c r="E34" s="534"/>
      <c r="F34" s="534"/>
      <c r="G34" s="534"/>
      <c r="H34" s="534"/>
      <c r="I34" s="534"/>
      <c r="J34" s="534"/>
      <c r="K34" s="534"/>
      <c r="L34" s="535"/>
      <c r="M34" s="302">
        <f>SUM(M35:M57)</f>
        <v>0</v>
      </c>
      <c r="N34" s="302">
        <f>SUM(N35:N57)</f>
        <v>1383</v>
      </c>
      <c r="O34" s="302">
        <f t="shared" ref="O34" si="24">N34-M34</f>
        <v>1383</v>
      </c>
      <c r="P34" s="276">
        <f t="shared" ref="P34" si="25">IF(M34=0,0,N34/M34*100)</f>
        <v>0</v>
      </c>
      <c r="Q34" s="302">
        <f>SUM(Q35:Q57)</f>
        <v>134851</v>
      </c>
      <c r="R34" s="302">
        <f>SUM(R35:R57)</f>
        <v>94706</v>
      </c>
      <c r="S34" s="302">
        <f t="shared" si="10"/>
        <v>-40145</v>
      </c>
      <c r="T34" s="276">
        <f t="shared" si="11"/>
        <v>70.230105820498181</v>
      </c>
      <c r="U34" s="302">
        <f>SUM(U35:U57)</f>
        <v>0</v>
      </c>
      <c r="V34" s="302">
        <f>SUM(V35:V57)</f>
        <v>1248</v>
      </c>
      <c r="W34" s="302">
        <f t="shared" si="12"/>
        <v>1248</v>
      </c>
      <c r="X34" s="276">
        <f t="shared" si="13"/>
        <v>0</v>
      </c>
      <c r="Y34" s="59"/>
      <c r="Z34" s="59"/>
      <c r="AA34" s="59">
        <f t="shared" si="14"/>
        <v>0</v>
      </c>
      <c r="AB34" s="276">
        <f t="shared" si="15"/>
        <v>0</v>
      </c>
      <c r="AC34" s="234">
        <f t="shared" si="16"/>
        <v>134851</v>
      </c>
      <c r="AD34" s="234">
        <f>SUM(N34,R34,V34,Z34)</f>
        <v>97337</v>
      </c>
      <c r="AE34" s="302">
        <f>AD34-AC34</f>
        <v>-37514</v>
      </c>
      <c r="AF34" s="276">
        <f t="shared" si="19"/>
        <v>72.181148081957119</v>
      </c>
      <c r="AG34" s="275"/>
      <c r="AH34" s="275"/>
    </row>
    <row r="35" spans="1:34" s="52" customFormat="1" ht="21">
      <c r="A35" s="312"/>
      <c r="B35" s="523" t="s">
        <v>794</v>
      </c>
      <c r="C35" s="524"/>
      <c r="D35" s="524"/>
      <c r="E35" s="524"/>
      <c r="F35" s="524"/>
      <c r="G35" s="524"/>
      <c r="H35" s="524"/>
      <c r="I35" s="524"/>
      <c r="J35" s="524"/>
      <c r="K35" s="524"/>
      <c r="L35" s="525"/>
      <c r="M35" s="307"/>
      <c r="N35" s="307"/>
      <c r="O35" s="71"/>
      <c r="P35" s="89"/>
      <c r="Q35" s="301">
        <v>7332</v>
      </c>
      <c r="R35" s="193"/>
      <c r="S35" s="301">
        <f t="shared" si="10"/>
        <v>-7332</v>
      </c>
      <c r="T35" s="243">
        <f t="shared" si="11"/>
        <v>0</v>
      </c>
      <c r="U35" s="301"/>
      <c r="V35" s="193"/>
      <c r="W35" s="301"/>
      <c r="X35" s="243"/>
      <c r="Y35" s="154"/>
      <c r="Z35" s="154"/>
      <c r="AA35" s="154"/>
      <c r="AB35" s="243"/>
      <c r="AC35" s="257">
        <f>SUM(M35,Q35,U35,Y35)</f>
        <v>7332</v>
      </c>
      <c r="AD35" s="257">
        <f>SUM(N35,R35,V35,Z35)</f>
        <v>0</v>
      </c>
      <c r="AE35" s="301">
        <f>AD35-AC35</f>
        <v>-7332</v>
      </c>
      <c r="AF35" s="243">
        <f>IF(AC35=0,0,AD35/AC35*100)</f>
        <v>0</v>
      </c>
      <c r="AG35" s="265"/>
      <c r="AH35" s="265"/>
    </row>
    <row r="36" spans="1:34" s="52" customFormat="1" ht="21">
      <c r="A36" s="312"/>
      <c r="B36" s="523" t="s">
        <v>795</v>
      </c>
      <c r="C36" s="524"/>
      <c r="D36" s="524"/>
      <c r="E36" s="524"/>
      <c r="F36" s="524"/>
      <c r="G36" s="524"/>
      <c r="H36" s="524"/>
      <c r="I36" s="524"/>
      <c r="J36" s="524"/>
      <c r="K36" s="524"/>
      <c r="L36" s="525"/>
      <c r="M36" s="307"/>
      <c r="N36" s="279">
        <v>1383</v>
      </c>
      <c r="O36" s="301">
        <f>N36-M36</f>
        <v>1383</v>
      </c>
      <c r="P36" s="243">
        <f>IF(M36=0,0,N36/M36*100)</f>
        <v>0</v>
      </c>
      <c r="Q36" s="301"/>
      <c r="R36" s="193"/>
      <c r="S36" s="301">
        <f t="shared" si="10"/>
        <v>0</v>
      </c>
      <c r="T36" s="243">
        <f t="shared" si="11"/>
        <v>0</v>
      </c>
      <c r="U36" s="301"/>
      <c r="V36" s="193">
        <v>225</v>
      </c>
      <c r="W36" s="301">
        <f>V36-U36</f>
        <v>225</v>
      </c>
      <c r="X36" s="243">
        <f>IF(U36=0,0,V36/U36*100)</f>
        <v>0</v>
      </c>
      <c r="Y36" s="154"/>
      <c r="Z36" s="154"/>
      <c r="AA36" s="154"/>
      <c r="AB36" s="243"/>
      <c r="AC36" s="257">
        <f>SUM(M36,Q36,U36,Y36)</f>
        <v>0</v>
      </c>
      <c r="AD36" s="257">
        <f>SUM(N36,R36,V36,Z36)</f>
        <v>1608</v>
      </c>
      <c r="AE36" s="301">
        <f>AD36-AC36</f>
        <v>1608</v>
      </c>
      <c r="AF36" s="243">
        <f>IF(AC36=0,0,AD36/AC36*100)</f>
        <v>0</v>
      </c>
      <c r="AG36" s="265"/>
      <c r="AH36" s="265"/>
    </row>
    <row r="37" spans="1:34" s="52" customFormat="1" ht="21">
      <c r="A37" s="312"/>
      <c r="B37" s="523" t="s">
        <v>796</v>
      </c>
      <c r="C37" s="524"/>
      <c r="D37" s="524"/>
      <c r="E37" s="524"/>
      <c r="F37" s="524"/>
      <c r="G37" s="524"/>
      <c r="H37" s="524"/>
      <c r="I37" s="524"/>
      <c r="J37" s="524"/>
      <c r="K37" s="524"/>
      <c r="L37" s="525"/>
      <c r="M37" s="307"/>
      <c r="N37" s="307"/>
      <c r="O37" s="71">
        <f>N37-M37</f>
        <v>0</v>
      </c>
      <c r="P37" s="89">
        <f>IF(M37=0,0,N37/M37*100)</f>
        <v>0</v>
      </c>
      <c r="Q37" s="301">
        <v>4590</v>
      </c>
      <c r="R37" s="301">
        <v>4590</v>
      </c>
      <c r="S37" s="301">
        <f>R37-Q37</f>
        <v>0</v>
      </c>
      <c r="T37" s="243">
        <f>IF(Q37=0,0,R37/Q37*100)</f>
        <v>100</v>
      </c>
      <c r="U37" s="301"/>
      <c r="V37" s="301"/>
      <c r="W37" s="301">
        <f>V37-U37</f>
        <v>0</v>
      </c>
      <c r="X37" s="243">
        <f>IF(U37=0,0,V37/U37*100)</f>
        <v>0</v>
      </c>
      <c r="Y37" s="154"/>
      <c r="Z37" s="154"/>
      <c r="AA37" s="154">
        <f>Z37-Y37</f>
        <v>0</v>
      </c>
      <c r="AB37" s="243">
        <f>IF(Y37=0,0,Z37/Y37*100)</f>
        <v>0</v>
      </c>
      <c r="AC37" s="257">
        <f>SUM(M37,Q37,U37,Y37)</f>
        <v>4590</v>
      </c>
      <c r="AD37" s="257">
        <f t="shared" ref="AD37:AD57" si="26">SUM(N37,R37,V37,Z37)</f>
        <v>4590</v>
      </c>
      <c r="AE37" s="301">
        <f t="shared" ref="AE37:AE38" si="27">AD37-AC37</f>
        <v>0</v>
      </c>
      <c r="AF37" s="243">
        <f t="shared" ref="AF37:AF38" si="28">IF(AC37=0,0,AD37/AC37*100)</f>
        <v>100</v>
      </c>
      <c r="AG37" s="265">
        <v>34335866</v>
      </c>
      <c r="AH37" s="265">
        <f>AG37/1.2</f>
        <v>28613221.666666668</v>
      </c>
    </row>
    <row r="38" spans="1:34" s="52" customFormat="1" ht="21">
      <c r="A38" s="312"/>
      <c r="B38" s="523" t="s">
        <v>799</v>
      </c>
      <c r="C38" s="524"/>
      <c r="D38" s="524"/>
      <c r="E38" s="524"/>
      <c r="F38" s="524"/>
      <c r="G38" s="524"/>
      <c r="H38" s="524"/>
      <c r="I38" s="524"/>
      <c r="J38" s="524"/>
      <c r="K38" s="524"/>
      <c r="L38" s="525"/>
      <c r="M38" s="307"/>
      <c r="N38" s="307"/>
      <c r="O38" s="71"/>
      <c r="P38" s="89"/>
      <c r="Q38" s="301"/>
      <c r="R38" s="193"/>
      <c r="S38" s="301">
        <f t="shared" ref="S38:S57" si="29">R38-Q38</f>
        <v>0</v>
      </c>
      <c r="T38" s="243">
        <f t="shared" ref="T38:T57" si="30">IF(Q38=0,0,R38/Q38*100)</f>
        <v>0</v>
      </c>
      <c r="U38" s="301"/>
      <c r="V38" s="193">
        <v>62</v>
      </c>
      <c r="W38" s="301">
        <f>V38-U38</f>
        <v>62</v>
      </c>
      <c r="X38" s="243">
        <f>IF(U38=0,0,V38/U38*100)</f>
        <v>0</v>
      </c>
      <c r="Y38" s="154"/>
      <c r="Z38" s="154"/>
      <c r="AA38" s="154"/>
      <c r="AB38" s="243"/>
      <c r="AC38" s="257"/>
      <c r="AD38" s="257">
        <f t="shared" si="26"/>
        <v>62</v>
      </c>
      <c r="AE38" s="301">
        <f t="shared" si="27"/>
        <v>62</v>
      </c>
      <c r="AF38" s="243">
        <f t="shared" si="28"/>
        <v>0</v>
      </c>
      <c r="AG38" s="265"/>
      <c r="AH38" s="265"/>
    </row>
    <row r="39" spans="1:34" s="52" customFormat="1" ht="21">
      <c r="A39" s="312"/>
      <c r="B39" s="523" t="s">
        <v>797</v>
      </c>
      <c r="C39" s="524"/>
      <c r="D39" s="524"/>
      <c r="E39" s="524"/>
      <c r="F39" s="524"/>
      <c r="G39" s="524"/>
      <c r="H39" s="524"/>
      <c r="I39" s="524"/>
      <c r="J39" s="524"/>
      <c r="K39" s="524"/>
      <c r="L39" s="525"/>
      <c r="M39" s="307"/>
      <c r="N39" s="307"/>
      <c r="O39" s="71"/>
      <c r="P39" s="89"/>
      <c r="Q39" s="301">
        <v>2064</v>
      </c>
      <c r="R39" s="193">
        <v>68471</v>
      </c>
      <c r="S39" s="301">
        <f t="shared" si="29"/>
        <v>66407</v>
      </c>
      <c r="T39" s="243">
        <f t="shared" si="30"/>
        <v>3317.3934108527137</v>
      </c>
      <c r="U39" s="301"/>
      <c r="V39" s="259"/>
      <c r="W39" s="301"/>
      <c r="X39" s="243"/>
      <c r="Y39" s="154"/>
      <c r="Z39" s="154"/>
      <c r="AA39" s="154"/>
      <c r="AB39" s="243"/>
      <c r="AC39" s="257">
        <f>SUM(M39,Q39,U39,Y39)</f>
        <v>2064</v>
      </c>
      <c r="AD39" s="257">
        <f t="shared" si="26"/>
        <v>68471</v>
      </c>
      <c r="AE39" s="301">
        <f>AD39-AC39</f>
        <v>66407</v>
      </c>
      <c r="AF39" s="243">
        <f>IF(AC39=0,0,AD39/AC39*100)</f>
        <v>3317.3934108527137</v>
      </c>
      <c r="AG39" s="265"/>
      <c r="AH39" s="265"/>
    </row>
    <row r="40" spans="1:34" s="52" customFormat="1" ht="51" customHeight="1">
      <c r="A40" s="312"/>
      <c r="B40" s="523" t="s">
        <v>800</v>
      </c>
      <c r="C40" s="524"/>
      <c r="D40" s="524"/>
      <c r="E40" s="524"/>
      <c r="F40" s="524"/>
      <c r="G40" s="524"/>
      <c r="H40" s="524"/>
      <c r="I40" s="524"/>
      <c r="J40" s="524"/>
      <c r="K40" s="524"/>
      <c r="L40" s="525"/>
      <c r="M40" s="307"/>
      <c r="N40" s="307"/>
      <c r="O40" s="71"/>
      <c r="P40" s="89"/>
      <c r="Q40" s="301">
        <v>117978</v>
      </c>
      <c r="R40" s="301"/>
      <c r="S40" s="301">
        <f t="shared" si="29"/>
        <v>-117978</v>
      </c>
      <c r="T40" s="243">
        <f t="shared" si="30"/>
        <v>0</v>
      </c>
      <c r="U40" s="301"/>
      <c r="V40" s="193"/>
      <c r="W40" s="301"/>
      <c r="X40" s="243"/>
      <c r="Y40" s="154"/>
      <c r="Z40" s="154"/>
      <c r="AA40" s="154"/>
      <c r="AB40" s="243"/>
      <c r="AC40" s="257">
        <f>SUM(M40,Q40,U40,Y40)</f>
        <v>117978</v>
      </c>
      <c r="AD40" s="257">
        <f t="shared" si="26"/>
        <v>0</v>
      </c>
      <c r="AE40" s="301">
        <f>AD40-AC40</f>
        <v>-117978</v>
      </c>
      <c r="AF40" s="243">
        <f>IF(AC40=0,0,AD40/AC40*100)</f>
        <v>0</v>
      </c>
      <c r="AG40" s="265"/>
      <c r="AH40" s="265"/>
    </row>
    <row r="41" spans="1:34" s="52" customFormat="1" ht="43.8" customHeight="1">
      <c r="A41" s="312"/>
      <c r="B41" s="523" t="s">
        <v>800</v>
      </c>
      <c r="C41" s="524"/>
      <c r="D41" s="524"/>
      <c r="E41" s="524"/>
      <c r="F41" s="524"/>
      <c r="G41" s="524"/>
      <c r="H41" s="524"/>
      <c r="I41" s="524"/>
      <c r="J41" s="524"/>
      <c r="K41" s="524"/>
      <c r="L41" s="525"/>
      <c r="M41" s="307"/>
      <c r="N41" s="307"/>
      <c r="O41" s="71"/>
      <c r="P41" s="89"/>
      <c r="Q41" s="301"/>
      <c r="R41" s="193">
        <v>18028</v>
      </c>
      <c r="S41" s="301">
        <f t="shared" si="29"/>
        <v>18028</v>
      </c>
      <c r="T41" s="243">
        <f t="shared" si="30"/>
        <v>0</v>
      </c>
      <c r="U41" s="301"/>
      <c r="V41" s="193"/>
      <c r="W41" s="301"/>
      <c r="X41" s="243"/>
      <c r="Y41" s="154"/>
      <c r="Z41" s="154"/>
      <c r="AA41" s="154"/>
      <c r="AB41" s="243"/>
      <c r="AC41" s="257"/>
      <c r="AD41" s="257">
        <f t="shared" si="26"/>
        <v>18028</v>
      </c>
      <c r="AE41" s="301">
        <f t="shared" ref="AE41:AE42" si="31">AD41-AC41</f>
        <v>18028</v>
      </c>
      <c r="AF41" s="243">
        <f t="shared" ref="AF41:AF42" si="32">IF(AC41=0,0,AD41/AC41*100)</f>
        <v>0</v>
      </c>
      <c r="AG41" s="265"/>
      <c r="AH41" s="265"/>
    </row>
    <row r="42" spans="1:34" s="52" customFormat="1" ht="21">
      <c r="A42" s="312"/>
      <c r="B42" s="523" t="s">
        <v>801</v>
      </c>
      <c r="C42" s="524"/>
      <c r="D42" s="524"/>
      <c r="E42" s="524"/>
      <c r="F42" s="524"/>
      <c r="G42" s="524"/>
      <c r="H42" s="524"/>
      <c r="I42" s="524"/>
      <c r="J42" s="524"/>
      <c r="K42" s="524"/>
      <c r="L42" s="525"/>
      <c r="M42" s="307"/>
      <c r="N42" s="307"/>
      <c r="O42" s="71"/>
      <c r="P42" s="89"/>
      <c r="Q42" s="301"/>
      <c r="R42" s="193"/>
      <c r="S42" s="301">
        <f t="shared" si="29"/>
        <v>0</v>
      </c>
      <c r="T42" s="243">
        <f t="shared" si="30"/>
        <v>0</v>
      </c>
      <c r="U42" s="301"/>
      <c r="V42" s="193">
        <v>40</v>
      </c>
      <c r="W42" s="301">
        <f>V42-U42</f>
        <v>40</v>
      </c>
      <c r="X42" s="243">
        <f>IF(U42=0,0,V42/U42*100)</f>
        <v>0</v>
      </c>
      <c r="Y42" s="154"/>
      <c r="Z42" s="154"/>
      <c r="AA42" s="154"/>
      <c r="AB42" s="243"/>
      <c r="AC42" s="257"/>
      <c r="AD42" s="257">
        <f t="shared" si="26"/>
        <v>40</v>
      </c>
      <c r="AE42" s="301">
        <f t="shared" si="31"/>
        <v>40</v>
      </c>
      <c r="AF42" s="243">
        <f t="shared" si="32"/>
        <v>0</v>
      </c>
      <c r="AG42" s="265"/>
      <c r="AH42" s="265"/>
    </row>
    <row r="43" spans="1:34" s="52" customFormat="1" ht="21">
      <c r="A43" s="312"/>
      <c r="B43" s="523" t="s">
        <v>798</v>
      </c>
      <c r="C43" s="524"/>
      <c r="D43" s="524"/>
      <c r="E43" s="524"/>
      <c r="F43" s="524"/>
      <c r="G43" s="524"/>
      <c r="H43" s="524"/>
      <c r="I43" s="524"/>
      <c r="J43" s="524"/>
      <c r="K43" s="524"/>
      <c r="L43" s="525"/>
      <c r="M43" s="307"/>
      <c r="N43" s="307"/>
      <c r="O43" s="71"/>
      <c r="P43" s="89"/>
      <c r="Q43" s="301">
        <v>1300</v>
      </c>
      <c r="R43" s="193">
        <v>1300</v>
      </c>
      <c r="S43" s="301">
        <f t="shared" si="29"/>
        <v>0</v>
      </c>
      <c r="T43" s="243">
        <f t="shared" si="30"/>
        <v>100</v>
      </c>
      <c r="U43" s="301"/>
      <c r="V43" s="193"/>
      <c r="W43" s="301">
        <f t="shared" ref="W43:W56" si="33">V43-U43</f>
        <v>0</v>
      </c>
      <c r="X43" s="243">
        <f t="shared" ref="X43:X56" si="34">IF(U43=0,0,V43/U43*100)</f>
        <v>0</v>
      </c>
      <c r="Y43" s="154"/>
      <c r="Z43" s="154"/>
      <c r="AA43" s="154"/>
      <c r="AB43" s="243"/>
      <c r="AC43" s="257">
        <f>SUM(M43,Q43,U43,Y43)</f>
        <v>1300</v>
      </c>
      <c r="AD43" s="257">
        <f t="shared" si="26"/>
        <v>1300</v>
      </c>
      <c r="AE43" s="301">
        <f>AD43-AC43</f>
        <v>0</v>
      </c>
      <c r="AF43" s="243">
        <f>IF(AC43=0,0,AD43/AC43*100)</f>
        <v>100</v>
      </c>
      <c r="AG43" s="265"/>
      <c r="AH43" s="265"/>
    </row>
    <row r="44" spans="1:34" s="52" customFormat="1" ht="21">
      <c r="A44" s="312"/>
      <c r="B44" s="523" t="s">
        <v>802</v>
      </c>
      <c r="C44" s="524"/>
      <c r="D44" s="524"/>
      <c r="E44" s="524"/>
      <c r="F44" s="524"/>
      <c r="G44" s="524"/>
      <c r="H44" s="524"/>
      <c r="I44" s="524"/>
      <c r="J44" s="524"/>
      <c r="K44" s="524"/>
      <c r="L44" s="525"/>
      <c r="M44" s="307"/>
      <c r="N44" s="307"/>
      <c r="O44" s="71"/>
      <c r="P44" s="89"/>
      <c r="Q44" s="301">
        <v>1587</v>
      </c>
      <c r="R44" s="193"/>
      <c r="S44" s="301">
        <f t="shared" si="29"/>
        <v>-1587</v>
      </c>
      <c r="T44" s="243">
        <f t="shared" si="30"/>
        <v>0</v>
      </c>
      <c r="U44" s="301"/>
      <c r="V44" s="193"/>
      <c r="W44" s="301">
        <f t="shared" si="33"/>
        <v>0</v>
      </c>
      <c r="X44" s="243">
        <f t="shared" si="34"/>
        <v>0</v>
      </c>
      <c r="Y44" s="154"/>
      <c r="Z44" s="154"/>
      <c r="AA44" s="154"/>
      <c r="AB44" s="243"/>
      <c r="AC44" s="257">
        <f>SUM(M44,Q44,U44,Y44)</f>
        <v>1587</v>
      </c>
      <c r="AD44" s="257">
        <f t="shared" si="26"/>
        <v>0</v>
      </c>
      <c r="AE44" s="301">
        <f>AD44-AC44</f>
        <v>-1587</v>
      </c>
      <c r="AF44" s="243">
        <f>IF(AC44=0,0,AD44/AC44*100)</f>
        <v>0</v>
      </c>
      <c r="AG44" s="265"/>
      <c r="AH44" s="265"/>
    </row>
    <row r="45" spans="1:34" s="52" customFormat="1" ht="21">
      <c r="A45" s="312"/>
      <c r="B45" s="591" t="s">
        <v>803</v>
      </c>
      <c r="C45" s="592"/>
      <c r="D45" s="592"/>
      <c r="E45" s="592"/>
      <c r="F45" s="592"/>
      <c r="G45" s="592"/>
      <c r="H45" s="592"/>
      <c r="I45" s="592"/>
      <c r="J45" s="592"/>
      <c r="K45" s="592"/>
      <c r="L45" s="593"/>
      <c r="M45" s="307"/>
      <c r="N45" s="307"/>
      <c r="O45" s="71"/>
      <c r="P45" s="89"/>
      <c r="Q45" s="301"/>
      <c r="R45" s="301"/>
      <c r="S45" s="301">
        <f t="shared" si="29"/>
        <v>0</v>
      </c>
      <c r="T45" s="243">
        <f t="shared" si="30"/>
        <v>0</v>
      </c>
      <c r="U45" s="301"/>
      <c r="V45" s="301">
        <v>29</v>
      </c>
      <c r="W45" s="301">
        <f t="shared" si="33"/>
        <v>29</v>
      </c>
      <c r="X45" s="243">
        <f t="shared" si="34"/>
        <v>0</v>
      </c>
      <c r="Y45" s="154"/>
      <c r="Z45" s="154"/>
      <c r="AA45" s="154"/>
      <c r="AB45" s="243"/>
      <c r="AC45" s="257"/>
      <c r="AD45" s="257">
        <f t="shared" si="26"/>
        <v>29</v>
      </c>
      <c r="AE45" s="301">
        <f t="shared" ref="AE45:AE57" si="35">AD45-AC45</f>
        <v>29</v>
      </c>
      <c r="AF45" s="243">
        <f t="shared" ref="AF45:AF57" si="36">IF(AC45=0,0,AD45/AC45*100)</f>
        <v>0</v>
      </c>
      <c r="AG45" s="265"/>
      <c r="AH45" s="265"/>
    </row>
    <row r="46" spans="1:34" s="52" customFormat="1" ht="21">
      <c r="A46" s="312"/>
      <c r="B46" s="523" t="s">
        <v>804</v>
      </c>
      <c r="C46" s="524"/>
      <c r="D46" s="524"/>
      <c r="E46" s="524"/>
      <c r="F46" s="524"/>
      <c r="G46" s="524"/>
      <c r="H46" s="524"/>
      <c r="I46" s="524"/>
      <c r="J46" s="524"/>
      <c r="K46" s="524"/>
      <c r="L46" s="525"/>
      <c r="M46" s="307"/>
      <c r="N46" s="307"/>
      <c r="O46" s="71"/>
      <c r="P46" s="89"/>
      <c r="Q46" s="301"/>
      <c r="R46" s="301"/>
      <c r="S46" s="301">
        <f t="shared" si="29"/>
        <v>0</v>
      </c>
      <c r="T46" s="243">
        <f t="shared" si="30"/>
        <v>0</v>
      </c>
      <c r="U46" s="301"/>
      <c r="V46" s="301">
        <v>210</v>
      </c>
      <c r="W46" s="301">
        <f t="shared" si="33"/>
        <v>210</v>
      </c>
      <c r="X46" s="243">
        <f t="shared" si="34"/>
        <v>0</v>
      </c>
      <c r="Y46" s="154"/>
      <c r="Z46" s="154"/>
      <c r="AA46" s="154"/>
      <c r="AB46" s="243"/>
      <c r="AC46" s="257"/>
      <c r="AD46" s="257">
        <f t="shared" si="26"/>
        <v>210</v>
      </c>
      <c r="AE46" s="301">
        <f t="shared" si="35"/>
        <v>210</v>
      </c>
      <c r="AF46" s="243">
        <f t="shared" si="36"/>
        <v>0</v>
      </c>
      <c r="AG46" s="265"/>
      <c r="AH46" s="265"/>
    </row>
    <row r="47" spans="1:34" s="52" customFormat="1" ht="21">
      <c r="A47" s="312"/>
      <c r="B47" s="523" t="s">
        <v>805</v>
      </c>
      <c r="C47" s="524"/>
      <c r="D47" s="524"/>
      <c r="E47" s="524"/>
      <c r="F47" s="524"/>
      <c r="G47" s="524"/>
      <c r="H47" s="524"/>
      <c r="I47" s="524"/>
      <c r="J47" s="524"/>
      <c r="K47" s="524"/>
      <c r="L47" s="525"/>
      <c r="M47" s="307"/>
      <c r="N47" s="307"/>
      <c r="O47" s="71"/>
      <c r="P47" s="89"/>
      <c r="Q47" s="301"/>
      <c r="R47" s="301"/>
      <c r="S47" s="301">
        <f t="shared" si="29"/>
        <v>0</v>
      </c>
      <c r="T47" s="243">
        <f t="shared" si="30"/>
        <v>0</v>
      </c>
      <c r="U47" s="301"/>
      <c r="V47" s="301">
        <v>66</v>
      </c>
      <c r="W47" s="301">
        <f t="shared" si="33"/>
        <v>66</v>
      </c>
      <c r="X47" s="243">
        <f t="shared" si="34"/>
        <v>0</v>
      </c>
      <c r="Y47" s="154"/>
      <c r="Z47" s="154"/>
      <c r="AA47" s="154"/>
      <c r="AB47" s="243"/>
      <c r="AC47" s="257"/>
      <c r="AD47" s="257">
        <f t="shared" si="26"/>
        <v>66</v>
      </c>
      <c r="AE47" s="301">
        <f t="shared" si="35"/>
        <v>66</v>
      </c>
      <c r="AF47" s="243">
        <f t="shared" si="36"/>
        <v>0</v>
      </c>
      <c r="AG47" s="265"/>
      <c r="AH47" s="265"/>
    </row>
    <row r="48" spans="1:34" s="52" customFormat="1" ht="21">
      <c r="A48" s="312"/>
      <c r="B48" s="523" t="s">
        <v>806</v>
      </c>
      <c r="C48" s="524"/>
      <c r="D48" s="524"/>
      <c r="E48" s="524"/>
      <c r="F48" s="524"/>
      <c r="G48" s="524"/>
      <c r="H48" s="524"/>
      <c r="I48" s="524"/>
      <c r="J48" s="524"/>
      <c r="K48" s="524"/>
      <c r="L48" s="525"/>
      <c r="M48" s="307"/>
      <c r="N48" s="307"/>
      <c r="O48" s="71"/>
      <c r="P48" s="89"/>
      <c r="Q48" s="301"/>
      <c r="R48" s="301"/>
      <c r="S48" s="301">
        <f t="shared" si="29"/>
        <v>0</v>
      </c>
      <c r="T48" s="243">
        <f t="shared" si="30"/>
        <v>0</v>
      </c>
      <c r="U48" s="301"/>
      <c r="V48" s="301">
        <v>83</v>
      </c>
      <c r="W48" s="301">
        <f t="shared" si="33"/>
        <v>83</v>
      </c>
      <c r="X48" s="243">
        <f t="shared" si="34"/>
        <v>0</v>
      </c>
      <c r="Y48" s="154"/>
      <c r="Z48" s="154"/>
      <c r="AA48" s="154"/>
      <c r="AB48" s="243"/>
      <c r="AC48" s="257"/>
      <c r="AD48" s="257">
        <f t="shared" si="26"/>
        <v>83</v>
      </c>
      <c r="AE48" s="301">
        <f t="shared" si="35"/>
        <v>83</v>
      </c>
      <c r="AF48" s="243">
        <f t="shared" si="36"/>
        <v>0</v>
      </c>
      <c r="AG48" s="265"/>
      <c r="AH48" s="265"/>
    </row>
    <row r="49" spans="1:34" s="52" customFormat="1" ht="21">
      <c r="A49" s="312"/>
      <c r="B49" s="523" t="s">
        <v>807</v>
      </c>
      <c r="C49" s="524"/>
      <c r="D49" s="524"/>
      <c r="E49" s="524"/>
      <c r="F49" s="524"/>
      <c r="G49" s="524"/>
      <c r="H49" s="524"/>
      <c r="I49" s="524"/>
      <c r="J49" s="524"/>
      <c r="K49" s="524"/>
      <c r="L49" s="525"/>
      <c r="M49" s="307"/>
      <c r="N49" s="307"/>
      <c r="O49" s="71"/>
      <c r="P49" s="89"/>
      <c r="Q49" s="301"/>
      <c r="R49" s="301"/>
      <c r="S49" s="301">
        <f t="shared" si="29"/>
        <v>0</v>
      </c>
      <c r="T49" s="243">
        <f t="shared" si="30"/>
        <v>0</v>
      </c>
      <c r="U49" s="301"/>
      <c r="V49" s="301">
        <v>25</v>
      </c>
      <c r="W49" s="301">
        <f t="shared" si="33"/>
        <v>25</v>
      </c>
      <c r="X49" s="243">
        <f t="shared" si="34"/>
        <v>0</v>
      </c>
      <c r="Y49" s="154"/>
      <c r="Z49" s="154"/>
      <c r="AA49" s="154"/>
      <c r="AB49" s="243"/>
      <c r="AC49" s="257"/>
      <c r="AD49" s="257">
        <f t="shared" si="26"/>
        <v>25</v>
      </c>
      <c r="AE49" s="301">
        <f t="shared" si="35"/>
        <v>25</v>
      </c>
      <c r="AF49" s="243">
        <f t="shared" si="36"/>
        <v>0</v>
      </c>
      <c r="AG49" s="265"/>
      <c r="AH49" s="265"/>
    </row>
    <row r="50" spans="1:34" s="52" customFormat="1" ht="21">
      <c r="A50" s="312"/>
      <c r="B50" s="523" t="s">
        <v>808</v>
      </c>
      <c r="C50" s="524"/>
      <c r="D50" s="524"/>
      <c r="E50" s="524"/>
      <c r="F50" s="524"/>
      <c r="G50" s="524"/>
      <c r="H50" s="524"/>
      <c r="I50" s="524"/>
      <c r="J50" s="524"/>
      <c r="K50" s="524"/>
      <c r="L50" s="525"/>
      <c r="M50" s="307"/>
      <c r="N50" s="307"/>
      <c r="O50" s="71"/>
      <c r="P50" s="89"/>
      <c r="Q50" s="301"/>
      <c r="R50" s="301"/>
      <c r="S50" s="301">
        <f t="shared" si="29"/>
        <v>0</v>
      </c>
      <c r="T50" s="243">
        <f t="shared" si="30"/>
        <v>0</v>
      </c>
      <c r="U50" s="301"/>
      <c r="V50" s="301">
        <v>66</v>
      </c>
      <c r="W50" s="301">
        <f t="shared" si="33"/>
        <v>66</v>
      </c>
      <c r="X50" s="243">
        <f t="shared" si="34"/>
        <v>0</v>
      </c>
      <c r="Y50" s="154"/>
      <c r="Z50" s="154"/>
      <c r="AA50" s="154"/>
      <c r="AB50" s="243"/>
      <c r="AC50" s="257"/>
      <c r="AD50" s="257">
        <f t="shared" si="26"/>
        <v>66</v>
      </c>
      <c r="AE50" s="301">
        <f t="shared" si="35"/>
        <v>66</v>
      </c>
      <c r="AF50" s="243">
        <f t="shared" si="36"/>
        <v>0</v>
      </c>
      <c r="AG50" s="265"/>
      <c r="AH50" s="265"/>
    </row>
    <row r="51" spans="1:34" s="52" customFormat="1" ht="21">
      <c r="A51" s="312"/>
      <c r="B51" s="523" t="s">
        <v>809</v>
      </c>
      <c r="C51" s="524"/>
      <c r="D51" s="524"/>
      <c r="E51" s="524"/>
      <c r="F51" s="524"/>
      <c r="G51" s="524"/>
      <c r="H51" s="524"/>
      <c r="I51" s="524"/>
      <c r="J51" s="524"/>
      <c r="K51" s="524"/>
      <c r="L51" s="525"/>
      <c r="M51" s="307"/>
      <c r="N51" s="307"/>
      <c r="O51" s="71"/>
      <c r="P51" s="89"/>
      <c r="Q51" s="301"/>
      <c r="R51" s="301">
        <v>2095</v>
      </c>
      <c r="S51" s="301">
        <f t="shared" si="29"/>
        <v>2095</v>
      </c>
      <c r="T51" s="243">
        <f t="shared" si="30"/>
        <v>0</v>
      </c>
      <c r="U51" s="301"/>
      <c r="V51" s="301"/>
      <c r="W51" s="301">
        <f t="shared" si="33"/>
        <v>0</v>
      </c>
      <c r="X51" s="243">
        <f t="shared" si="34"/>
        <v>0</v>
      </c>
      <c r="Y51" s="154"/>
      <c r="Z51" s="154"/>
      <c r="AA51" s="154"/>
      <c r="AB51" s="243"/>
      <c r="AC51" s="257"/>
      <c r="AD51" s="257">
        <f t="shared" si="26"/>
        <v>2095</v>
      </c>
      <c r="AE51" s="301">
        <f t="shared" si="35"/>
        <v>2095</v>
      </c>
      <c r="AF51" s="243">
        <f t="shared" si="36"/>
        <v>0</v>
      </c>
      <c r="AG51" s="265"/>
      <c r="AH51" s="265"/>
    </row>
    <row r="52" spans="1:34" s="52" customFormat="1" ht="21">
      <c r="A52" s="312"/>
      <c r="B52" s="523" t="s">
        <v>810</v>
      </c>
      <c r="C52" s="524"/>
      <c r="D52" s="524"/>
      <c r="E52" s="524"/>
      <c r="F52" s="524"/>
      <c r="G52" s="524"/>
      <c r="H52" s="524"/>
      <c r="I52" s="524"/>
      <c r="J52" s="524"/>
      <c r="K52" s="524"/>
      <c r="L52" s="525"/>
      <c r="M52" s="307"/>
      <c r="N52" s="307"/>
      <c r="O52" s="71"/>
      <c r="P52" s="89"/>
      <c r="Q52" s="301"/>
      <c r="R52" s="301"/>
      <c r="S52" s="301">
        <f t="shared" si="29"/>
        <v>0</v>
      </c>
      <c r="T52" s="243">
        <f t="shared" si="30"/>
        <v>0</v>
      </c>
      <c r="U52" s="301"/>
      <c r="V52" s="301">
        <v>39</v>
      </c>
      <c r="W52" s="301">
        <f t="shared" si="33"/>
        <v>39</v>
      </c>
      <c r="X52" s="243">
        <f t="shared" si="34"/>
        <v>0</v>
      </c>
      <c r="Y52" s="154"/>
      <c r="Z52" s="154"/>
      <c r="AA52" s="154"/>
      <c r="AB52" s="243"/>
      <c r="AC52" s="257"/>
      <c r="AD52" s="257">
        <f t="shared" si="26"/>
        <v>39</v>
      </c>
      <c r="AE52" s="301">
        <f t="shared" si="35"/>
        <v>39</v>
      </c>
      <c r="AF52" s="243">
        <f t="shared" si="36"/>
        <v>0</v>
      </c>
      <c r="AG52" s="265"/>
      <c r="AH52" s="265"/>
    </row>
    <row r="53" spans="1:34" s="52" customFormat="1" ht="21">
      <c r="A53" s="312"/>
      <c r="B53" s="523" t="s">
        <v>811</v>
      </c>
      <c r="C53" s="524"/>
      <c r="D53" s="524"/>
      <c r="E53" s="524"/>
      <c r="F53" s="524"/>
      <c r="G53" s="524"/>
      <c r="H53" s="524"/>
      <c r="I53" s="524"/>
      <c r="J53" s="524"/>
      <c r="K53" s="524"/>
      <c r="L53" s="525"/>
      <c r="M53" s="307"/>
      <c r="N53" s="307"/>
      <c r="O53" s="71"/>
      <c r="P53" s="89"/>
      <c r="Q53" s="301"/>
      <c r="R53" s="301"/>
      <c r="S53" s="301">
        <f t="shared" si="29"/>
        <v>0</v>
      </c>
      <c r="T53" s="243">
        <f t="shared" si="30"/>
        <v>0</v>
      </c>
      <c r="U53" s="301"/>
      <c r="V53" s="301">
        <v>27</v>
      </c>
      <c r="W53" s="301">
        <f t="shared" si="33"/>
        <v>27</v>
      </c>
      <c r="X53" s="243">
        <f t="shared" si="34"/>
        <v>0</v>
      </c>
      <c r="Y53" s="154"/>
      <c r="Z53" s="154"/>
      <c r="AA53" s="154"/>
      <c r="AB53" s="243"/>
      <c r="AC53" s="257"/>
      <c r="AD53" s="257">
        <f t="shared" si="26"/>
        <v>27</v>
      </c>
      <c r="AE53" s="301">
        <f t="shared" si="35"/>
        <v>27</v>
      </c>
      <c r="AF53" s="243">
        <f t="shared" si="36"/>
        <v>0</v>
      </c>
      <c r="AG53" s="265"/>
      <c r="AH53" s="265"/>
    </row>
    <row r="54" spans="1:34" s="52" customFormat="1" ht="21">
      <c r="A54" s="312"/>
      <c r="B54" s="523" t="s">
        <v>812</v>
      </c>
      <c r="C54" s="524"/>
      <c r="D54" s="524"/>
      <c r="E54" s="524"/>
      <c r="F54" s="524"/>
      <c r="G54" s="524"/>
      <c r="H54" s="524"/>
      <c r="I54" s="524"/>
      <c r="J54" s="524"/>
      <c r="K54" s="524"/>
      <c r="L54" s="525"/>
      <c r="M54" s="307"/>
      <c r="N54" s="307"/>
      <c r="O54" s="71"/>
      <c r="P54" s="89"/>
      <c r="Q54" s="301"/>
      <c r="R54" s="301"/>
      <c r="S54" s="301">
        <f t="shared" si="29"/>
        <v>0</v>
      </c>
      <c r="T54" s="243">
        <f t="shared" si="30"/>
        <v>0</v>
      </c>
      <c r="U54" s="301"/>
      <c r="V54" s="301">
        <v>28</v>
      </c>
      <c r="W54" s="301">
        <f t="shared" si="33"/>
        <v>28</v>
      </c>
      <c r="X54" s="243">
        <f t="shared" si="34"/>
        <v>0</v>
      </c>
      <c r="Y54" s="154"/>
      <c r="Z54" s="154"/>
      <c r="AA54" s="154"/>
      <c r="AB54" s="243"/>
      <c r="AC54" s="257"/>
      <c r="AD54" s="257">
        <f t="shared" si="26"/>
        <v>28</v>
      </c>
      <c r="AE54" s="301">
        <f t="shared" si="35"/>
        <v>28</v>
      </c>
      <c r="AF54" s="243">
        <f t="shared" si="36"/>
        <v>0</v>
      </c>
      <c r="AG54" s="265"/>
      <c r="AH54" s="265"/>
    </row>
    <row r="55" spans="1:34" s="52" customFormat="1" ht="21">
      <c r="A55" s="312"/>
      <c r="B55" s="523" t="s">
        <v>813</v>
      </c>
      <c r="C55" s="524"/>
      <c r="D55" s="524"/>
      <c r="E55" s="524"/>
      <c r="F55" s="524"/>
      <c r="G55" s="524"/>
      <c r="H55" s="524"/>
      <c r="I55" s="524"/>
      <c r="J55" s="524"/>
      <c r="K55" s="524"/>
      <c r="L55" s="525"/>
      <c r="M55" s="307"/>
      <c r="N55" s="307"/>
      <c r="O55" s="71"/>
      <c r="P55" s="89"/>
      <c r="Q55" s="301"/>
      <c r="R55" s="301"/>
      <c r="S55" s="301">
        <f t="shared" si="29"/>
        <v>0</v>
      </c>
      <c r="T55" s="243">
        <f t="shared" si="30"/>
        <v>0</v>
      </c>
      <c r="U55" s="301"/>
      <c r="V55" s="301">
        <v>322</v>
      </c>
      <c r="W55" s="301">
        <f t="shared" si="33"/>
        <v>322</v>
      </c>
      <c r="X55" s="243">
        <f t="shared" si="34"/>
        <v>0</v>
      </c>
      <c r="Y55" s="154"/>
      <c r="Z55" s="154"/>
      <c r="AA55" s="154"/>
      <c r="AB55" s="243"/>
      <c r="AC55" s="257"/>
      <c r="AD55" s="257">
        <f t="shared" si="26"/>
        <v>322</v>
      </c>
      <c r="AE55" s="301">
        <f t="shared" si="35"/>
        <v>322</v>
      </c>
      <c r="AF55" s="243">
        <f t="shared" si="36"/>
        <v>0</v>
      </c>
      <c r="AG55" s="265"/>
      <c r="AH55" s="265"/>
    </row>
    <row r="56" spans="1:34" s="52" customFormat="1" ht="21">
      <c r="A56" s="312"/>
      <c r="B56" s="523" t="s">
        <v>814</v>
      </c>
      <c r="C56" s="524"/>
      <c r="D56" s="524"/>
      <c r="E56" s="524"/>
      <c r="F56" s="524"/>
      <c r="G56" s="524"/>
      <c r="H56" s="524"/>
      <c r="I56" s="524"/>
      <c r="J56" s="524"/>
      <c r="K56" s="524"/>
      <c r="L56" s="525"/>
      <c r="M56" s="307"/>
      <c r="N56" s="307"/>
      <c r="O56" s="71"/>
      <c r="P56" s="89"/>
      <c r="Q56" s="301"/>
      <c r="R56" s="301"/>
      <c r="S56" s="301">
        <f t="shared" si="29"/>
        <v>0</v>
      </c>
      <c r="T56" s="243">
        <f t="shared" si="30"/>
        <v>0</v>
      </c>
      <c r="U56" s="301"/>
      <c r="V56" s="301">
        <v>26</v>
      </c>
      <c r="W56" s="301">
        <f t="shared" si="33"/>
        <v>26</v>
      </c>
      <c r="X56" s="243">
        <f t="shared" si="34"/>
        <v>0</v>
      </c>
      <c r="Y56" s="154"/>
      <c r="Z56" s="154"/>
      <c r="AA56" s="154"/>
      <c r="AB56" s="243"/>
      <c r="AC56" s="257"/>
      <c r="AD56" s="257">
        <f t="shared" si="26"/>
        <v>26</v>
      </c>
      <c r="AE56" s="301">
        <f t="shared" si="35"/>
        <v>26</v>
      </c>
      <c r="AF56" s="243">
        <f t="shared" si="36"/>
        <v>0</v>
      </c>
      <c r="AG56" s="265"/>
      <c r="AH56" s="265"/>
    </row>
    <row r="57" spans="1:34" s="52" customFormat="1" ht="21">
      <c r="A57" s="312"/>
      <c r="B57" s="523" t="s">
        <v>815</v>
      </c>
      <c r="C57" s="524"/>
      <c r="D57" s="524"/>
      <c r="E57" s="524"/>
      <c r="F57" s="524"/>
      <c r="G57" s="524"/>
      <c r="H57" s="524"/>
      <c r="I57" s="524"/>
      <c r="J57" s="524"/>
      <c r="K57" s="524"/>
      <c r="L57" s="525"/>
      <c r="M57" s="307"/>
      <c r="N57" s="307"/>
      <c r="O57" s="71"/>
      <c r="P57" s="89"/>
      <c r="Q57" s="301"/>
      <c r="R57" s="301">
        <v>222</v>
      </c>
      <c r="S57" s="301">
        <f t="shared" si="29"/>
        <v>222</v>
      </c>
      <c r="T57" s="243">
        <f t="shared" si="30"/>
        <v>0</v>
      </c>
      <c r="U57" s="301"/>
      <c r="V57" s="301"/>
      <c r="W57" s="301"/>
      <c r="X57" s="243"/>
      <c r="Y57" s="154"/>
      <c r="Z57" s="154"/>
      <c r="AA57" s="154"/>
      <c r="AB57" s="243"/>
      <c r="AC57" s="257"/>
      <c r="AD57" s="257">
        <f t="shared" si="26"/>
        <v>222</v>
      </c>
      <c r="AE57" s="301">
        <f t="shared" si="35"/>
        <v>222</v>
      </c>
      <c r="AF57" s="243">
        <f t="shared" si="36"/>
        <v>0</v>
      </c>
      <c r="AG57" s="265"/>
      <c r="AH57" s="265"/>
    </row>
    <row r="58" spans="1:34" s="187" customFormat="1" ht="20.399999999999999">
      <c r="A58" s="272">
        <v>3</v>
      </c>
      <c r="B58" s="562" t="s">
        <v>781</v>
      </c>
      <c r="C58" s="563"/>
      <c r="D58" s="563"/>
      <c r="E58" s="563"/>
      <c r="F58" s="563"/>
      <c r="G58" s="563"/>
      <c r="H58" s="563"/>
      <c r="I58" s="563"/>
      <c r="J58" s="563"/>
      <c r="K58" s="563"/>
      <c r="L58" s="564"/>
      <c r="M58" s="308"/>
      <c r="N58" s="308"/>
      <c r="O58" s="273">
        <f t="shared" si="8"/>
        <v>0</v>
      </c>
      <c r="P58" s="274">
        <f t="shared" si="9"/>
        <v>0</v>
      </c>
      <c r="Q58" s="302">
        <f>Q59</f>
        <v>0</v>
      </c>
      <c r="R58" s="302">
        <f>R59</f>
        <v>0</v>
      </c>
      <c r="S58" s="302">
        <f t="shared" si="10"/>
        <v>0</v>
      </c>
      <c r="T58" s="276">
        <f t="shared" si="11"/>
        <v>0</v>
      </c>
      <c r="U58" s="302">
        <f>U59</f>
        <v>10</v>
      </c>
      <c r="V58" s="302">
        <f>V59</f>
        <v>15</v>
      </c>
      <c r="W58" s="302">
        <f t="shared" si="12"/>
        <v>5</v>
      </c>
      <c r="X58" s="276">
        <f t="shared" si="13"/>
        <v>150</v>
      </c>
      <c r="Y58" s="59"/>
      <c r="Z58" s="59"/>
      <c r="AA58" s="59">
        <f t="shared" si="14"/>
        <v>0</v>
      </c>
      <c r="AB58" s="276">
        <f t="shared" si="15"/>
        <v>0</v>
      </c>
      <c r="AC58" s="234">
        <f t="shared" si="16"/>
        <v>10</v>
      </c>
      <c r="AD58" s="234">
        <f t="shared" si="17"/>
        <v>15</v>
      </c>
      <c r="AE58" s="302">
        <f t="shared" si="18"/>
        <v>5</v>
      </c>
      <c r="AF58" s="276">
        <f t="shared" si="19"/>
        <v>150</v>
      </c>
      <c r="AG58" s="275"/>
      <c r="AH58" s="275"/>
    </row>
    <row r="59" spans="1:34" s="52" customFormat="1" ht="21">
      <c r="A59" s="312"/>
      <c r="B59" s="523" t="s">
        <v>538</v>
      </c>
      <c r="C59" s="524"/>
      <c r="D59" s="524"/>
      <c r="E59" s="524"/>
      <c r="F59" s="524"/>
      <c r="G59" s="524"/>
      <c r="H59" s="524"/>
      <c r="I59" s="524"/>
      <c r="J59" s="524"/>
      <c r="K59" s="524"/>
      <c r="L59" s="525"/>
      <c r="M59" s="307"/>
      <c r="N59" s="307"/>
      <c r="O59" s="71">
        <f t="shared" si="8"/>
        <v>0</v>
      </c>
      <c r="P59" s="89">
        <f t="shared" si="9"/>
        <v>0</v>
      </c>
      <c r="Q59" s="301"/>
      <c r="R59" s="301"/>
      <c r="S59" s="301">
        <f t="shared" si="10"/>
        <v>0</v>
      </c>
      <c r="T59" s="243">
        <f t="shared" si="11"/>
        <v>0</v>
      </c>
      <c r="U59" s="301">
        <v>10</v>
      </c>
      <c r="V59" s="193">
        <v>15</v>
      </c>
      <c r="W59" s="301">
        <f t="shared" si="12"/>
        <v>5</v>
      </c>
      <c r="X59" s="243">
        <f t="shared" si="13"/>
        <v>150</v>
      </c>
      <c r="Y59" s="154"/>
      <c r="Z59" s="154"/>
      <c r="AA59" s="154">
        <f t="shared" si="14"/>
        <v>0</v>
      </c>
      <c r="AB59" s="243">
        <f t="shared" si="15"/>
        <v>0</v>
      </c>
      <c r="AC59" s="257">
        <f t="shared" si="16"/>
        <v>10</v>
      </c>
      <c r="AD59" s="257">
        <f t="shared" si="17"/>
        <v>15</v>
      </c>
      <c r="AE59" s="301">
        <f t="shared" si="18"/>
        <v>5</v>
      </c>
      <c r="AF59" s="243">
        <f t="shared" si="19"/>
        <v>150</v>
      </c>
      <c r="AG59" s="265"/>
      <c r="AH59" s="265"/>
    </row>
    <row r="60" spans="1:34" s="187" customFormat="1" ht="20.399999999999999">
      <c r="A60" s="272">
        <v>4</v>
      </c>
      <c r="B60" s="533" t="s">
        <v>642</v>
      </c>
      <c r="C60" s="534"/>
      <c r="D60" s="534"/>
      <c r="E60" s="534"/>
      <c r="F60" s="534"/>
      <c r="G60" s="534"/>
      <c r="H60" s="534"/>
      <c r="I60" s="534"/>
      <c r="J60" s="534"/>
      <c r="K60" s="534"/>
      <c r="L60" s="535"/>
      <c r="M60" s="308"/>
      <c r="N60" s="308"/>
      <c r="O60" s="273">
        <f t="shared" si="8"/>
        <v>0</v>
      </c>
      <c r="P60" s="274">
        <f t="shared" si="9"/>
        <v>0</v>
      </c>
      <c r="Q60" s="302">
        <f>SUM(Q61:Q63)</f>
        <v>6820</v>
      </c>
      <c r="R60" s="302">
        <f>SUM(R61:R63)</f>
        <v>14418</v>
      </c>
      <c r="S60" s="302">
        <f t="shared" si="10"/>
        <v>7598</v>
      </c>
      <c r="T60" s="276">
        <f t="shared" si="11"/>
        <v>211.40762463343111</v>
      </c>
      <c r="U60" s="302">
        <f>SUM(U62:U62)</f>
        <v>0</v>
      </c>
      <c r="V60" s="302">
        <f>SUM(V62:V62)</f>
        <v>0</v>
      </c>
      <c r="W60" s="302">
        <f t="shared" si="12"/>
        <v>0</v>
      </c>
      <c r="X60" s="276">
        <f t="shared" si="13"/>
        <v>0</v>
      </c>
      <c r="Y60" s="59"/>
      <c r="Z60" s="59"/>
      <c r="AA60" s="59">
        <f t="shared" si="14"/>
        <v>0</v>
      </c>
      <c r="AB60" s="276">
        <f t="shared" si="15"/>
        <v>0</v>
      </c>
      <c r="AC60" s="234">
        <f t="shared" si="16"/>
        <v>6820</v>
      </c>
      <c r="AD60" s="234">
        <f t="shared" si="17"/>
        <v>14418</v>
      </c>
      <c r="AE60" s="302">
        <f t="shared" si="18"/>
        <v>7598</v>
      </c>
      <c r="AF60" s="276">
        <f t="shared" si="19"/>
        <v>211.40762463343111</v>
      </c>
      <c r="AG60" s="275"/>
      <c r="AH60" s="275"/>
    </row>
    <row r="61" spans="1:34" s="187" customFormat="1" ht="24.6" customHeight="1">
      <c r="A61" s="272"/>
      <c r="B61" s="523" t="s">
        <v>626</v>
      </c>
      <c r="C61" s="524"/>
      <c r="D61" s="524"/>
      <c r="E61" s="524"/>
      <c r="F61" s="524"/>
      <c r="G61" s="524"/>
      <c r="H61" s="524"/>
      <c r="I61" s="524"/>
      <c r="J61" s="524"/>
      <c r="K61" s="524"/>
      <c r="L61" s="525"/>
      <c r="M61" s="308"/>
      <c r="N61" s="308"/>
      <c r="O61" s="273"/>
      <c r="P61" s="274"/>
      <c r="Q61" s="302"/>
      <c r="R61" s="301">
        <v>14298</v>
      </c>
      <c r="S61" s="302"/>
      <c r="T61" s="276"/>
      <c r="U61" s="302"/>
      <c r="V61" s="302"/>
      <c r="W61" s="302"/>
      <c r="X61" s="276"/>
      <c r="Y61" s="59"/>
      <c r="Z61" s="59"/>
      <c r="AA61" s="59"/>
      <c r="AB61" s="276"/>
      <c r="AC61" s="257">
        <f t="shared" si="16"/>
        <v>0</v>
      </c>
      <c r="AD61" s="257">
        <f t="shared" si="17"/>
        <v>14298</v>
      </c>
      <c r="AE61" s="301">
        <f t="shared" si="18"/>
        <v>14298</v>
      </c>
      <c r="AF61" s="243">
        <f t="shared" si="19"/>
        <v>0</v>
      </c>
      <c r="AG61" s="275"/>
      <c r="AH61" s="275"/>
    </row>
    <row r="62" spans="1:34" s="52" customFormat="1" ht="21" customHeight="1">
      <c r="A62" s="312"/>
      <c r="B62" s="523" t="s">
        <v>531</v>
      </c>
      <c r="C62" s="524"/>
      <c r="D62" s="524"/>
      <c r="E62" s="524"/>
      <c r="F62" s="524"/>
      <c r="G62" s="524"/>
      <c r="H62" s="524"/>
      <c r="I62" s="524"/>
      <c r="J62" s="524"/>
      <c r="K62" s="524"/>
      <c r="L62" s="525"/>
      <c r="M62" s="307"/>
      <c r="N62" s="307"/>
      <c r="O62" s="71"/>
      <c r="P62" s="89"/>
      <c r="Q62" s="301"/>
      <c r="R62" s="193">
        <v>120</v>
      </c>
      <c r="S62" s="301"/>
      <c r="T62" s="243"/>
      <c r="U62" s="301"/>
      <c r="V62" s="301"/>
      <c r="W62" s="301"/>
      <c r="X62" s="243"/>
      <c r="Y62" s="154"/>
      <c r="Z62" s="154"/>
      <c r="AA62" s="154"/>
      <c r="AB62" s="243"/>
      <c r="AC62" s="257">
        <f t="shared" si="16"/>
        <v>0</v>
      </c>
      <c r="AD62" s="257">
        <f t="shared" si="17"/>
        <v>120</v>
      </c>
      <c r="AE62" s="301">
        <f t="shared" si="18"/>
        <v>120</v>
      </c>
      <c r="AF62" s="243">
        <f t="shared" si="19"/>
        <v>0</v>
      </c>
      <c r="AG62" s="265"/>
      <c r="AH62" s="265"/>
    </row>
    <row r="63" spans="1:34" s="52" customFormat="1" ht="21" customHeight="1">
      <c r="A63" s="312"/>
      <c r="B63" s="523" t="s">
        <v>744</v>
      </c>
      <c r="C63" s="524"/>
      <c r="D63" s="524"/>
      <c r="E63" s="524"/>
      <c r="F63" s="524"/>
      <c r="G63" s="524"/>
      <c r="H63" s="524"/>
      <c r="I63" s="524"/>
      <c r="J63" s="524"/>
      <c r="K63" s="524"/>
      <c r="L63" s="525"/>
      <c r="M63" s="307"/>
      <c r="N63" s="307"/>
      <c r="O63" s="71">
        <f>N63-M63</f>
        <v>0</v>
      </c>
      <c r="P63" s="89">
        <f>IF(M63=0,0,N63/M63*100)</f>
        <v>0</v>
      </c>
      <c r="Q63" s="301">
        <v>6820</v>
      </c>
      <c r="R63" s="193"/>
      <c r="S63" s="301">
        <f>R63-Q63</f>
        <v>-6820</v>
      </c>
      <c r="T63" s="243">
        <f>IF(Q63=0,0,R63/Q63*100)</f>
        <v>0</v>
      </c>
      <c r="U63" s="301"/>
      <c r="V63" s="301"/>
      <c r="W63" s="301">
        <f>V63-U63</f>
        <v>0</v>
      </c>
      <c r="X63" s="243">
        <f>IF(U63=0,0,V63/U63*100)</f>
        <v>0</v>
      </c>
      <c r="Y63" s="154"/>
      <c r="Z63" s="154"/>
      <c r="AA63" s="154">
        <f>Z63-Y63</f>
        <v>0</v>
      </c>
      <c r="AB63" s="243">
        <f>IF(Y63=0,0,Z63/Y63*100)</f>
        <v>0</v>
      </c>
      <c r="AC63" s="257">
        <f>SUM(M63,Q63,U63,Y63)</f>
        <v>6820</v>
      </c>
      <c r="AD63" s="257">
        <f>SUM(N63,R63,V63,Z63)</f>
        <v>0</v>
      </c>
      <c r="AE63" s="301">
        <f>AD63-AC63</f>
        <v>-6820</v>
      </c>
      <c r="AF63" s="243">
        <f>IF(AC63=0,0,AD63/AC63*100)</f>
        <v>0</v>
      </c>
      <c r="AG63" s="265">
        <v>2000000</v>
      </c>
      <c r="AH63" s="265">
        <f>AG63/1.2</f>
        <v>1666666.6666666667</v>
      </c>
    </row>
    <row r="64" spans="1:34" s="187" customFormat="1" ht="20.399999999999999">
      <c r="A64" s="272">
        <v>5</v>
      </c>
      <c r="B64" s="533" t="s">
        <v>643</v>
      </c>
      <c r="C64" s="534"/>
      <c r="D64" s="534"/>
      <c r="E64" s="534"/>
      <c r="F64" s="534"/>
      <c r="G64" s="534"/>
      <c r="H64" s="534"/>
      <c r="I64" s="534"/>
      <c r="J64" s="534"/>
      <c r="K64" s="534"/>
      <c r="L64" s="535"/>
      <c r="M64" s="308"/>
      <c r="N64" s="308"/>
      <c r="O64" s="273">
        <f t="shared" si="8"/>
        <v>0</v>
      </c>
      <c r="P64" s="274">
        <f t="shared" si="9"/>
        <v>0</v>
      </c>
      <c r="Q64" s="302">
        <f>SUM(Q65:Q70)</f>
        <v>40103</v>
      </c>
      <c r="R64" s="302">
        <f>SUM(R65:R70)</f>
        <v>0</v>
      </c>
      <c r="S64" s="302">
        <f t="shared" si="10"/>
        <v>-40103</v>
      </c>
      <c r="T64" s="276">
        <f t="shared" si="11"/>
        <v>0</v>
      </c>
      <c r="U64" s="302">
        <f>SUM(U65:U70)</f>
        <v>8553</v>
      </c>
      <c r="V64" s="302">
        <f>SUM(V65:V70)</f>
        <v>0</v>
      </c>
      <c r="W64" s="302">
        <f t="shared" si="12"/>
        <v>-8553</v>
      </c>
      <c r="X64" s="276">
        <f t="shared" si="13"/>
        <v>0</v>
      </c>
      <c r="Y64" s="59"/>
      <c r="Z64" s="59"/>
      <c r="AA64" s="59">
        <f t="shared" si="14"/>
        <v>0</v>
      </c>
      <c r="AB64" s="276">
        <f t="shared" si="15"/>
        <v>0</v>
      </c>
      <c r="AC64" s="234">
        <f t="shared" si="16"/>
        <v>48656</v>
      </c>
      <c r="AD64" s="234">
        <f>SUM(N64,R64,V64,Z64)</f>
        <v>0</v>
      </c>
      <c r="AE64" s="302">
        <f t="shared" si="18"/>
        <v>-48656</v>
      </c>
      <c r="AF64" s="276">
        <f t="shared" si="19"/>
        <v>0</v>
      </c>
      <c r="AG64" s="275"/>
      <c r="AH64" s="275"/>
    </row>
    <row r="65" spans="1:34" s="52" customFormat="1" ht="21" customHeight="1">
      <c r="A65" s="312"/>
      <c r="B65" s="523" t="s">
        <v>734</v>
      </c>
      <c r="C65" s="524"/>
      <c r="D65" s="524"/>
      <c r="E65" s="524"/>
      <c r="F65" s="524"/>
      <c r="G65" s="524"/>
      <c r="H65" s="524"/>
      <c r="I65" s="524"/>
      <c r="J65" s="524"/>
      <c r="K65" s="524"/>
      <c r="L65" s="525"/>
      <c r="M65" s="307"/>
      <c r="N65" s="307"/>
      <c r="O65" s="71">
        <f t="shared" si="8"/>
        <v>0</v>
      </c>
      <c r="P65" s="89">
        <f t="shared" si="9"/>
        <v>0</v>
      </c>
      <c r="Q65" s="301">
        <v>926</v>
      </c>
      <c r="R65" s="301"/>
      <c r="S65" s="301">
        <f t="shared" si="10"/>
        <v>-926</v>
      </c>
      <c r="T65" s="243">
        <f t="shared" si="11"/>
        <v>0</v>
      </c>
      <c r="U65" s="257"/>
      <c r="V65" s="301"/>
      <c r="W65" s="301">
        <f t="shared" si="12"/>
        <v>0</v>
      </c>
      <c r="X65" s="243">
        <f t="shared" si="13"/>
        <v>0</v>
      </c>
      <c r="Y65" s="154"/>
      <c r="Z65" s="154"/>
      <c r="AA65" s="154">
        <f t="shared" si="14"/>
        <v>0</v>
      </c>
      <c r="AB65" s="243">
        <f t="shared" si="15"/>
        <v>0</v>
      </c>
      <c r="AC65" s="257">
        <f t="shared" si="16"/>
        <v>926</v>
      </c>
      <c r="AD65" s="257">
        <f>SUM(N65,R65,V65,Z65)</f>
        <v>0</v>
      </c>
      <c r="AE65" s="301">
        <f t="shared" si="18"/>
        <v>-926</v>
      </c>
      <c r="AF65" s="243">
        <f t="shared" si="19"/>
        <v>0</v>
      </c>
      <c r="AG65" s="265"/>
      <c r="AH65" s="265"/>
    </row>
    <row r="66" spans="1:34" s="52" customFormat="1" ht="21" customHeight="1">
      <c r="A66" s="312"/>
      <c r="B66" s="523" t="s">
        <v>735</v>
      </c>
      <c r="C66" s="524"/>
      <c r="D66" s="524"/>
      <c r="E66" s="524"/>
      <c r="F66" s="524"/>
      <c r="G66" s="524"/>
      <c r="H66" s="524"/>
      <c r="I66" s="524"/>
      <c r="J66" s="524"/>
      <c r="K66" s="524"/>
      <c r="L66" s="525"/>
      <c r="M66" s="307"/>
      <c r="N66" s="307"/>
      <c r="O66" s="71">
        <f t="shared" si="8"/>
        <v>0</v>
      </c>
      <c r="P66" s="89">
        <f t="shared" si="9"/>
        <v>0</v>
      </c>
      <c r="Q66" s="301">
        <v>7605</v>
      </c>
      <c r="R66" s="301"/>
      <c r="S66" s="301">
        <f t="shared" si="10"/>
        <v>-7605</v>
      </c>
      <c r="T66" s="243">
        <f t="shared" si="11"/>
        <v>0</v>
      </c>
      <c r="U66" s="257"/>
      <c r="V66" s="301"/>
      <c r="W66" s="301">
        <f t="shared" si="12"/>
        <v>0</v>
      </c>
      <c r="X66" s="243">
        <f t="shared" si="13"/>
        <v>0</v>
      </c>
      <c r="Y66" s="154"/>
      <c r="Z66" s="154"/>
      <c r="AA66" s="154">
        <f t="shared" si="14"/>
        <v>0</v>
      </c>
      <c r="AB66" s="243">
        <f t="shared" si="15"/>
        <v>0</v>
      </c>
      <c r="AC66" s="257">
        <f t="shared" si="16"/>
        <v>7605</v>
      </c>
      <c r="AD66" s="257">
        <f t="shared" si="17"/>
        <v>0</v>
      </c>
      <c r="AE66" s="301">
        <f t="shared" si="18"/>
        <v>-7605</v>
      </c>
      <c r="AF66" s="243">
        <f t="shared" si="19"/>
        <v>0</v>
      </c>
      <c r="AG66" s="265"/>
      <c r="AH66" s="265"/>
    </row>
    <row r="67" spans="1:34" s="52" customFormat="1" ht="29.4" customHeight="1">
      <c r="A67" s="312"/>
      <c r="B67" s="523" t="s">
        <v>736</v>
      </c>
      <c r="C67" s="524"/>
      <c r="D67" s="524"/>
      <c r="E67" s="524"/>
      <c r="F67" s="524"/>
      <c r="G67" s="524"/>
      <c r="H67" s="524"/>
      <c r="I67" s="524"/>
      <c r="J67" s="524"/>
      <c r="K67" s="524"/>
      <c r="L67" s="525"/>
      <c r="M67" s="71"/>
      <c r="N67" s="71"/>
      <c r="O67" s="71">
        <f>N67-M67</f>
        <v>0</v>
      </c>
      <c r="P67" s="89">
        <f>IF(M67=0,0,N67/M67*100)</f>
        <v>0</v>
      </c>
      <c r="Q67" s="301">
        <v>11921</v>
      </c>
      <c r="R67" s="301"/>
      <c r="S67" s="301">
        <f>R67-Q67</f>
        <v>-11921</v>
      </c>
      <c r="T67" s="243">
        <f>IF(Q67=0,0,R67/Q67*100)</f>
        <v>0</v>
      </c>
      <c r="U67" s="257">
        <v>6033</v>
      </c>
      <c r="V67" s="257"/>
      <c r="W67" s="301">
        <f>V67-U67</f>
        <v>-6033</v>
      </c>
      <c r="X67" s="243">
        <f>IF(U67=0,0,V67/U67*100)</f>
        <v>0</v>
      </c>
      <c r="Y67" s="243"/>
      <c r="Z67" s="243"/>
      <c r="AA67" s="154">
        <f>Z67-Y67</f>
        <v>0</v>
      </c>
      <c r="AB67" s="243">
        <f>IF(Y67=0,0,Z67/Y67*100)</f>
        <v>0</v>
      </c>
      <c r="AC67" s="257">
        <f>SUM(M67,Q67,U67,Y67)</f>
        <v>17954</v>
      </c>
      <c r="AD67" s="257">
        <f>SUM(N67,R67,V67,Z67)</f>
        <v>0</v>
      </c>
      <c r="AE67" s="301">
        <f>AD67-AC67</f>
        <v>-17954</v>
      </c>
      <c r="AF67" s="243">
        <f>IF(AC67=0,0,AD67/AC67*100)</f>
        <v>0</v>
      </c>
      <c r="AG67" s="265"/>
      <c r="AH67" s="265"/>
    </row>
    <row r="68" spans="1:34" s="52" customFormat="1" ht="25.8" customHeight="1">
      <c r="A68" s="312"/>
      <c r="B68" s="523" t="s">
        <v>737</v>
      </c>
      <c r="C68" s="524"/>
      <c r="D68" s="524"/>
      <c r="E68" s="524"/>
      <c r="F68" s="524"/>
      <c r="G68" s="524"/>
      <c r="H68" s="524"/>
      <c r="I68" s="524"/>
      <c r="J68" s="524"/>
      <c r="K68" s="524"/>
      <c r="L68" s="525"/>
      <c r="M68" s="71"/>
      <c r="N68" s="71"/>
      <c r="O68" s="71">
        <f t="shared" ref="O68:O71" si="37">N68-M68</f>
        <v>0</v>
      </c>
      <c r="P68" s="89">
        <f t="shared" ref="P68:P71" si="38">IF(M68=0,0,N68/M68*100)</f>
        <v>0</v>
      </c>
      <c r="Q68" s="301">
        <v>7489</v>
      </c>
      <c r="R68" s="301"/>
      <c r="S68" s="301">
        <f t="shared" ref="S68:S70" si="39">R68-Q68</f>
        <v>-7489</v>
      </c>
      <c r="T68" s="243">
        <f t="shared" ref="T68:T71" si="40">IF(Q68=0,0,R68/Q68*100)</f>
        <v>0</v>
      </c>
      <c r="U68" s="257"/>
      <c r="V68" s="257"/>
      <c r="W68" s="301">
        <f>V68-U68</f>
        <v>0</v>
      </c>
      <c r="X68" s="243">
        <f t="shared" ref="X68:X71" si="41">IF(U68=0,0,V68/U68*100)</f>
        <v>0</v>
      </c>
      <c r="Y68" s="243"/>
      <c r="Z68" s="243"/>
      <c r="AA68" s="154">
        <f t="shared" ref="AA68:AA71" si="42">Z68-Y68</f>
        <v>0</v>
      </c>
      <c r="AB68" s="243">
        <f t="shared" ref="AB68:AB71" si="43">IF(Y68=0,0,Z68/Y68*100)</f>
        <v>0</v>
      </c>
      <c r="AC68" s="257">
        <f t="shared" ref="AC68:AC70" si="44">SUM(M68,Q68,U68,Y68)</f>
        <v>7489</v>
      </c>
      <c r="AD68" s="257">
        <f t="shared" ref="AD68:AD70" si="45">SUM(N68,R68,V68,Z68)</f>
        <v>0</v>
      </c>
      <c r="AE68" s="301">
        <f t="shared" ref="AE68:AE71" si="46">AD68-AC68</f>
        <v>-7489</v>
      </c>
      <c r="AF68" s="243">
        <f t="shared" ref="AF68:AF71" si="47">IF(AC68=0,0,AD68/AC68*100)</f>
        <v>0</v>
      </c>
      <c r="AG68" s="265"/>
      <c r="AH68" s="265"/>
    </row>
    <row r="69" spans="1:34" s="52" customFormat="1" ht="45" customHeight="1">
      <c r="A69" s="312"/>
      <c r="B69" s="523" t="s">
        <v>738</v>
      </c>
      <c r="C69" s="524"/>
      <c r="D69" s="524"/>
      <c r="E69" s="524"/>
      <c r="F69" s="524"/>
      <c r="G69" s="524"/>
      <c r="H69" s="524"/>
      <c r="I69" s="524"/>
      <c r="J69" s="524"/>
      <c r="K69" s="524"/>
      <c r="L69" s="525"/>
      <c r="M69" s="71"/>
      <c r="N69" s="71"/>
      <c r="O69" s="71">
        <f t="shared" si="37"/>
        <v>0</v>
      </c>
      <c r="P69" s="89">
        <f t="shared" si="38"/>
        <v>0</v>
      </c>
      <c r="Q69" s="301">
        <v>12162</v>
      </c>
      <c r="R69" s="301"/>
      <c r="S69" s="301">
        <f t="shared" si="39"/>
        <v>-12162</v>
      </c>
      <c r="T69" s="243">
        <f t="shared" si="40"/>
        <v>0</v>
      </c>
      <c r="U69" s="257">
        <v>1986</v>
      </c>
      <c r="V69" s="257"/>
      <c r="W69" s="301">
        <f t="shared" ref="W69:W71" si="48">V69-U69</f>
        <v>-1986</v>
      </c>
      <c r="X69" s="243">
        <f t="shared" si="41"/>
        <v>0</v>
      </c>
      <c r="Y69" s="243"/>
      <c r="Z69" s="243"/>
      <c r="AA69" s="154">
        <f t="shared" si="42"/>
        <v>0</v>
      </c>
      <c r="AB69" s="243">
        <f t="shared" si="43"/>
        <v>0</v>
      </c>
      <c r="AC69" s="257">
        <f t="shared" si="44"/>
        <v>14148</v>
      </c>
      <c r="AD69" s="257">
        <f t="shared" si="45"/>
        <v>0</v>
      </c>
      <c r="AE69" s="301">
        <f t="shared" si="46"/>
        <v>-14148</v>
      </c>
      <c r="AF69" s="243">
        <f t="shared" si="47"/>
        <v>0</v>
      </c>
      <c r="AG69" s="265"/>
      <c r="AH69" s="265"/>
    </row>
    <row r="70" spans="1:34" s="52" customFormat="1" ht="25.2" customHeight="1">
      <c r="A70" s="312"/>
      <c r="B70" s="523" t="s">
        <v>739</v>
      </c>
      <c r="C70" s="524"/>
      <c r="D70" s="524"/>
      <c r="E70" s="524"/>
      <c r="F70" s="524"/>
      <c r="G70" s="524"/>
      <c r="H70" s="524"/>
      <c r="I70" s="524"/>
      <c r="J70" s="524"/>
      <c r="K70" s="524"/>
      <c r="L70" s="525"/>
      <c r="M70" s="71"/>
      <c r="N70" s="71"/>
      <c r="O70" s="71">
        <f t="shared" si="37"/>
        <v>0</v>
      </c>
      <c r="P70" s="89">
        <f t="shared" si="38"/>
        <v>0</v>
      </c>
      <c r="Q70" s="301"/>
      <c r="R70" s="350"/>
      <c r="S70" s="301">
        <f t="shared" si="39"/>
        <v>0</v>
      </c>
      <c r="T70" s="243">
        <f t="shared" si="40"/>
        <v>0</v>
      </c>
      <c r="U70" s="257">
        <v>534</v>
      </c>
      <c r="V70" s="301"/>
      <c r="W70" s="301">
        <f t="shared" si="48"/>
        <v>-534</v>
      </c>
      <c r="X70" s="243">
        <f t="shared" si="41"/>
        <v>0</v>
      </c>
      <c r="Y70" s="154"/>
      <c r="Z70" s="154"/>
      <c r="AA70" s="154">
        <f t="shared" si="42"/>
        <v>0</v>
      </c>
      <c r="AB70" s="243">
        <f t="shared" si="43"/>
        <v>0</v>
      </c>
      <c r="AC70" s="257">
        <f t="shared" si="44"/>
        <v>534</v>
      </c>
      <c r="AD70" s="257">
        <f t="shared" si="45"/>
        <v>0</v>
      </c>
      <c r="AE70" s="301">
        <f t="shared" si="46"/>
        <v>-534</v>
      </c>
      <c r="AF70" s="243">
        <f t="shared" si="47"/>
        <v>0</v>
      </c>
      <c r="AG70" s="265"/>
      <c r="AH70" s="265"/>
    </row>
    <row r="71" spans="1:34" s="52" customFormat="1" ht="33.75" customHeight="1">
      <c r="A71" s="553" t="s">
        <v>50</v>
      </c>
      <c r="B71" s="554"/>
      <c r="C71" s="554"/>
      <c r="D71" s="554"/>
      <c r="E71" s="554"/>
      <c r="F71" s="554"/>
      <c r="G71" s="554"/>
      <c r="H71" s="554"/>
      <c r="I71" s="554"/>
      <c r="J71" s="554"/>
      <c r="K71" s="554"/>
      <c r="L71" s="555"/>
      <c r="M71" s="273">
        <f t="shared" ref="M71" si="49">SUM(M67:M70)</f>
        <v>0</v>
      </c>
      <c r="N71" s="273">
        <f t="shared" ref="N71" si="50">SUM(N67:N70)</f>
        <v>0</v>
      </c>
      <c r="O71" s="273">
        <f t="shared" si="37"/>
        <v>0</v>
      </c>
      <c r="P71" s="273">
        <f t="shared" si="38"/>
        <v>0</v>
      </c>
      <c r="Q71" s="302">
        <f>Q31+Q60+Q34+Q58+Q64</f>
        <v>184555</v>
      </c>
      <c r="R71" s="302">
        <f>R31+R60+R34+R58+R64</f>
        <v>111905</v>
      </c>
      <c r="S71" s="302">
        <f>R71-Q71</f>
        <v>-72650</v>
      </c>
      <c r="T71" s="59">
        <f t="shared" si="40"/>
        <v>60.635041044675035</v>
      </c>
      <c r="U71" s="302">
        <f>U31+U60+U34+U58+U64</f>
        <v>8563</v>
      </c>
      <c r="V71" s="302">
        <f>V31+V60+V34+V58+V64</f>
        <v>1417</v>
      </c>
      <c r="W71" s="302">
        <f t="shared" si="48"/>
        <v>-7146</v>
      </c>
      <c r="X71" s="59">
        <f t="shared" si="41"/>
        <v>16.54793880649305</v>
      </c>
      <c r="Y71" s="59">
        <f>Y31+Y60+Y34+Y58+Y64</f>
        <v>0</v>
      </c>
      <c r="Z71" s="59">
        <f>Z31+Z60+Z34+Z58+Z64</f>
        <v>0</v>
      </c>
      <c r="AA71" s="59">
        <f t="shared" si="42"/>
        <v>0</v>
      </c>
      <c r="AB71" s="59">
        <f t="shared" si="43"/>
        <v>0</v>
      </c>
      <c r="AC71" s="302">
        <f>AC31+AC60+AC34+AC58+AC64</f>
        <v>193118</v>
      </c>
      <c r="AD71" s="302">
        <f>AD31+AD60+AD34+AD58+AD64</f>
        <v>114705</v>
      </c>
      <c r="AE71" s="302">
        <f t="shared" si="46"/>
        <v>-78413</v>
      </c>
      <c r="AF71" s="59">
        <f t="shared" si="47"/>
        <v>59.396327633881874</v>
      </c>
      <c r="AG71" s="265">
        <f>SUM(AG31:AG70)</f>
        <v>36335866</v>
      </c>
      <c r="AH71" s="265">
        <f>SUM(AH34:AH70)</f>
        <v>30279888.333333336</v>
      </c>
    </row>
    <row r="72" spans="1:34" s="52" customFormat="1" ht="34.5" customHeight="1">
      <c r="A72" s="550" t="s">
        <v>51</v>
      </c>
      <c r="B72" s="551"/>
      <c r="C72" s="551"/>
      <c r="D72" s="551"/>
      <c r="E72" s="551"/>
      <c r="F72" s="551"/>
      <c r="G72" s="551"/>
      <c r="H72" s="551"/>
      <c r="I72" s="551"/>
      <c r="J72" s="551"/>
      <c r="K72" s="551"/>
      <c r="L72" s="552"/>
      <c r="M72" s="71">
        <f>IF($AC$71=0,0,M71/$AC$71*100)</f>
        <v>0</v>
      </c>
      <c r="N72" s="71">
        <f>IF($AD$71=0,0,N71/$AD$71*100)</f>
        <v>0</v>
      </c>
      <c r="O72" s="71"/>
      <c r="P72" s="71"/>
      <c r="Q72" s="154">
        <f>IF($AC$71=0,0,Q71/$AC$71*100)</f>
        <v>95.565923425056184</v>
      </c>
      <c r="R72" s="154">
        <f>IF($AD$71=0,0,R71/$AD$71*100)</f>
        <v>97.558955581709611</v>
      </c>
      <c r="S72" s="154"/>
      <c r="T72" s="154"/>
      <c r="U72" s="154">
        <f>IF($AC$71=0,0,U71/$AC$71*100)</f>
        <v>4.4340765749438171</v>
      </c>
      <c r="V72" s="154">
        <f>IF($AD$71=0,0,V71/$AD$71*100)</f>
        <v>1.2353428359705332</v>
      </c>
      <c r="W72" s="154"/>
      <c r="X72" s="154"/>
      <c r="Y72" s="154">
        <f>IF($AC$71=0,0,Y71/$AC$71*100)</f>
        <v>0</v>
      </c>
      <c r="Z72" s="154">
        <f>IF($AD$71=0,0,Z71/$AD$71*100)</f>
        <v>0</v>
      </c>
      <c r="AA72" s="154"/>
      <c r="AB72" s="154"/>
      <c r="AC72" s="154">
        <f>SUM(M72,Q72,U72,Y72)</f>
        <v>100</v>
      </c>
      <c r="AD72" s="154">
        <f>SUM(N72,R72,V72,Z72)</f>
        <v>98.794298417680139</v>
      </c>
      <c r="AE72" s="154"/>
      <c r="AF72" s="154"/>
      <c r="AG72" s="265"/>
      <c r="AH72" s="265"/>
    </row>
    <row r="73" spans="1:34" ht="15" customHeight="1">
      <c r="A73" s="313"/>
      <c r="B73" s="313"/>
      <c r="C73" s="313"/>
      <c r="D73" s="64"/>
      <c r="E73" s="64"/>
      <c r="F73" s="64"/>
      <c r="G73" s="64"/>
      <c r="H73" s="64"/>
      <c r="I73" s="64"/>
      <c r="J73" s="64"/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52"/>
      <c r="X73" s="52"/>
      <c r="Y73" s="52"/>
      <c r="Z73" s="52"/>
      <c r="AA73" s="52"/>
      <c r="AB73" s="52"/>
      <c r="AC73" s="52"/>
      <c r="AD73" s="52"/>
      <c r="AE73" s="52"/>
      <c r="AF73" s="52"/>
    </row>
    <row r="74" spans="1:34" ht="15" customHeight="1">
      <c r="A74" s="313"/>
      <c r="B74" s="313"/>
      <c r="C74" s="313"/>
      <c r="D74" s="64"/>
      <c r="E74" s="64"/>
      <c r="F74" s="64"/>
      <c r="G74" s="64"/>
      <c r="H74" s="64"/>
      <c r="I74" s="64"/>
      <c r="J74" s="64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52"/>
      <c r="X74" s="52"/>
      <c r="Y74" s="52"/>
      <c r="Z74" s="52"/>
      <c r="AA74" s="52"/>
      <c r="AB74" s="52"/>
      <c r="AC74" s="52"/>
      <c r="AD74" s="52"/>
      <c r="AE74" s="52"/>
      <c r="AF74" s="52"/>
    </row>
    <row r="75" spans="1:34" s="30" customFormat="1" ht="31.5" customHeight="1">
      <c r="A75" s="61"/>
      <c r="B75" s="61"/>
      <c r="C75" s="61" t="s">
        <v>338</v>
      </c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1"/>
      <c r="Y75" s="61"/>
      <c r="Z75" s="61"/>
      <c r="AA75" s="61"/>
      <c r="AB75" s="61"/>
      <c r="AC75" s="61"/>
      <c r="AD75" s="61"/>
      <c r="AE75" s="61"/>
      <c r="AF75" s="61"/>
      <c r="AG75" s="247"/>
      <c r="AH75" s="247"/>
    </row>
    <row r="76" spans="1:34" s="31" customFormat="1" ht="21">
      <c r="A76" s="52"/>
      <c r="B76" s="52"/>
      <c r="C76" s="52"/>
      <c r="D76" s="52"/>
      <c r="E76" s="52"/>
      <c r="F76" s="52"/>
      <c r="G76" s="52"/>
      <c r="H76" s="52"/>
      <c r="I76" s="52"/>
      <c r="J76" s="52"/>
      <c r="K76" s="65"/>
      <c r="L76" s="52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  <c r="AA76" s="65"/>
      <c r="AB76" s="65"/>
      <c r="AC76" s="65"/>
      <c r="AD76" s="601" t="s">
        <v>315</v>
      </c>
      <c r="AE76" s="601"/>
      <c r="AF76" s="601"/>
      <c r="AG76" s="248"/>
      <c r="AH76" s="248"/>
    </row>
    <row r="77" spans="1:34" s="32" customFormat="1" ht="34.5" customHeight="1">
      <c r="A77" s="391" t="s">
        <v>47</v>
      </c>
      <c r="B77" s="512" t="s">
        <v>173</v>
      </c>
      <c r="C77" s="514"/>
      <c r="D77" s="389" t="s">
        <v>175</v>
      </c>
      <c r="E77" s="389"/>
      <c r="F77" s="389" t="s">
        <v>124</v>
      </c>
      <c r="G77" s="389"/>
      <c r="H77" s="389" t="s">
        <v>276</v>
      </c>
      <c r="I77" s="389"/>
      <c r="J77" s="389" t="s">
        <v>277</v>
      </c>
      <c r="K77" s="389"/>
      <c r="L77" s="389" t="s">
        <v>695</v>
      </c>
      <c r="M77" s="389"/>
      <c r="N77" s="389"/>
      <c r="O77" s="389"/>
      <c r="P77" s="389"/>
      <c r="Q77" s="389"/>
      <c r="R77" s="389"/>
      <c r="S77" s="389"/>
      <c r="T77" s="389"/>
      <c r="U77" s="389"/>
      <c r="V77" s="389" t="s">
        <v>174</v>
      </c>
      <c r="W77" s="389"/>
      <c r="X77" s="389"/>
      <c r="Y77" s="389"/>
      <c r="Z77" s="389"/>
      <c r="AA77" s="389" t="s">
        <v>279</v>
      </c>
      <c r="AB77" s="389"/>
      <c r="AC77" s="389"/>
      <c r="AD77" s="389"/>
      <c r="AE77" s="389"/>
      <c r="AF77" s="389"/>
      <c r="AG77" s="249"/>
      <c r="AH77" s="249"/>
    </row>
    <row r="78" spans="1:34" s="32" customFormat="1" ht="52.5" customHeight="1">
      <c r="A78" s="391"/>
      <c r="B78" s="526"/>
      <c r="C78" s="527"/>
      <c r="D78" s="389"/>
      <c r="E78" s="389"/>
      <c r="F78" s="389"/>
      <c r="G78" s="389"/>
      <c r="H78" s="389"/>
      <c r="I78" s="389"/>
      <c r="J78" s="389"/>
      <c r="K78" s="389"/>
      <c r="L78" s="389" t="s">
        <v>159</v>
      </c>
      <c r="M78" s="389"/>
      <c r="N78" s="389" t="s">
        <v>162</v>
      </c>
      <c r="O78" s="389"/>
      <c r="P78" s="389" t="s">
        <v>163</v>
      </c>
      <c r="Q78" s="389"/>
      <c r="R78" s="389"/>
      <c r="S78" s="389"/>
      <c r="T78" s="389"/>
      <c r="U78" s="389"/>
      <c r="V78" s="389"/>
      <c r="W78" s="389"/>
      <c r="X78" s="389"/>
      <c r="Y78" s="389"/>
      <c r="Z78" s="389"/>
      <c r="AA78" s="389"/>
      <c r="AB78" s="389"/>
      <c r="AC78" s="389"/>
      <c r="AD78" s="389"/>
      <c r="AE78" s="389"/>
      <c r="AF78" s="389"/>
      <c r="AG78" s="249"/>
      <c r="AH78" s="249"/>
    </row>
    <row r="79" spans="1:34" s="33" customFormat="1" ht="100.5" customHeight="1">
      <c r="A79" s="391"/>
      <c r="B79" s="515"/>
      <c r="C79" s="517"/>
      <c r="D79" s="389"/>
      <c r="E79" s="389"/>
      <c r="F79" s="389"/>
      <c r="G79" s="389"/>
      <c r="H79" s="389"/>
      <c r="I79" s="389"/>
      <c r="J79" s="389"/>
      <c r="K79" s="389"/>
      <c r="L79" s="389"/>
      <c r="M79" s="389"/>
      <c r="N79" s="389"/>
      <c r="O79" s="389"/>
      <c r="P79" s="389" t="s">
        <v>160</v>
      </c>
      <c r="Q79" s="389"/>
      <c r="R79" s="389" t="s">
        <v>161</v>
      </c>
      <c r="S79" s="389"/>
      <c r="T79" s="389" t="s">
        <v>411</v>
      </c>
      <c r="U79" s="389"/>
      <c r="V79" s="389"/>
      <c r="W79" s="389"/>
      <c r="X79" s="389"/>
      <c r="Y79" s="389"/>
      <c r="Z79" s="389"/>
      <c r="AA79" s="389"/>
      <c r="AB79" s="389"/>
      <c r="AC79" s="389"/>
      <c r="AD79" s="389"/>
      <c r="AE79" s="389"/>
      <c r="AF79" s="389"/>
      <c r="AG79" s="250"/>
      <c r="AH79" s="250"/>
    </row>
    <row r="80" spans="1:34" s="32" customFormat="1" ht="24" customHeight="1">
      <c r="A80" s="283">
        <v>1</v>
      </c>
      <c r="B80" s="493">
        <v>2</v>
      </c>
      <c r="C80" s="494"/>
      <c r="D80" s="389">
        <v>3</v>
      </c>
      <c r="E80" s="389"/>
      <c r="F80" s="389">
        <v>4</v>
      </c>
      <c r="G80" s="389"/>
      <c r="H80" s="389">
        <v>5</v>
      </c>
      <c r="I80" s="389"/>
      <c r="J80" s="389">
        <v>6</v>
      </c>
      <c r="K80" s="389"/>
      <c r="L80" s="493">
        <v>7</v>
      </c>
      <c r="M80" s="494"/>
      <c r="N80" s="493">
        <v>8</v>
      </c>
      <c r="O80" s="494"/>
      <c r="P80" s="389">
        <v>9</v>
      </c>
      <c r="Q80" s="389"/>
      <c r="R80" s="391">
        <v>10</v>
      </c>
      <c r="S80" s="391"/>
      <c r="T80" s="389">
        <v>11</v>
      </c>
      <c r="U80" s="389"/>
      <c r="V80" s="389">
        <v>12</v>
      </c>
      <c r="W80" s="389"/>
      <c r="X80" s="389"/>
      <c r="Y80" s="389"/>
      <c r="Z80" s="389"/>
      <c r="AA80" s="389">
        <v>13</v>
      </c>
      <c r="AB80" s="389"/>
      <c r="AC80" s="389"/>
      <c r="AD80" s="389"/>
      <c r="AE80" s="389"/>
      <c r="AF80" s="389"/>
      <c r="AG80" s="249"/>
      <c r="AH80" s="249"/>
    </row>
    <row r="81" spans="1:34" s="32" customFormat="1" ht="75.599999999999994" customHeight="1">
      <c r="A81" s="283">
        <v>1</v>
      </c>
      <c r="B81" s="543" t="s">
        <v>768</v>
      </c>
      <c r="C81" s="544"/>
      <c r="D81" s="389">
        <v>2023</v>
      </c>
      <c r="E81" s="389"/>
      <c r="F81" s="496">
        <v>2781</v>
      </c>
      <c r="G81" s="496"/>
      <c r="H81" s="496" t="s">
        <v>414</v>
      </c>
      <c r="I81" s="496"/>
      <c r="J81" s="496"/>
      <c r="K81" s="496"/>
      <c r="L81" s="469"/>
      <c r="M81" s="470"/>
      <c r="N81" s="469">
        <v>2781</v>
      </c>
      <c r="O81" s="470"/>
      <c r="P81" s="496"/>
      <c r="Q81" s="496"/>
      <c r="R81" s="496"/>
      <c r="S81" s="496"/>
      <c r="T81" s="496"/>
      <c r="U81" s="496"/>
      <c r="V81" s="556" t="s">
        <v>769</v>
      </c>
      <c r="W81" s="556"/>
      <c r="X81" s="556"/>
      <c r="Y81" s="556"/>
      <c r="Z81" s="556"/>
      <c r="AA81" s="602"/>
      <c r="AB81" s="602"/>
      <c r="AC81" s="602"/>
      <c r="AD81" s="602"/>
      <c r="AE81" s="602"/>
      <c r="AF81" s="602"/>
      <c r="AG81" s="249"/>
      <c r="AH81" s="249"/>
    </row>
    <row r="82" spans="1:34" s="32" customFormat="1" ht="51.6" customHeight="1">
      <c r="A82" s="283">
        <v>2</v>
      </c>
      <c r="B82" s="543" t="s">
        <v>770</v>
      </c>
      <c r="C82" s="544"/>
      <c r="D82" s="389">
        <v>2023</v>
      </c>
      <c r="E82" s="389"/>
      <c r="F82" s="496">
        <v>154</v>
      </c>
      <c r="G82" s="496"/>
      <c r="H82" s="496"/>
      <c r="I82" s="496"/>
      <c r="J82" s="496"/>
      <c r="K82" s="496"/>
      <c r="L82" s="469"/>
      <c r="M82" s="470"/>
      <c r="N82" s="469"/>
      <c r="O82" s="470"/>
      <c r="P82" s="496">
        <v>154</v>
      </c>
      <c r="Q82" s="496"/>
      <c r="R82" s="496"/>
      <c r="S82" s="496"/>
      <c r="T82" s="496"/>
      <c r="U82" s="496"/>
      <c r="V82" s="556" t="s">
        <v>769</v>
      </c>
      <c r="W82" s="556"/>
      <c r="X82" s="556"/>
      <c r="Y82" s="556"/>
      <c r="Z82" s="556"/>
      <c r="AA82" s="602"/>
      <c r="AB82" s="602"/>
      <c r="AC82" s="602"/>
      <c r="AD82" s="602"/>
      <c r="AE82" s="602"/>
      <c r="AF82" s="602"/>
      <c r="AG82" s="249"/>
      <c r="AH82" s="249"/>
    </row>
    <row r="83" spans="1:34" s="32" customFormat="1" ht="37.5" customHeight="1">
      <c r="A83" s="568" t="s">
        <v>50</v>
      </c>
      <c r="B83" s="569"/>
      <c r="C83" s="569"/>
      <c r="D83" s="569"/>
      <c r="E83" s="570"/>
      <c r="F83" s="504">
        <f>SUM(F81:F82)</f>
        <v>2935</v>
      </c>
      <c r="G83" s="504"/>
      <c r="H83" s="504">
        <f>SUM(H81:H82)</f>
        <v>0</v>
      </c>
      <c r="I83" s="504"/>
      <c r="J83" s="504">
        <f>SUM(J81:J82)</f>
        <v>0</v>
      </c>
      <c r="K83" s="504"/>
      <c r="L83" s="504"/>
      <c r="M83" s="504"/>
      <c r="N83" s="504"/>
      <c r="O83" s="504"/>
      <c r="P83" s="504"/>
      <c r="Q83" s="504"/>
      <c r="R83" s="504"/>
      <c r="S83" s="504"/>
      <c r="T83" s="504"/>
      <c r="U83" s="504"/>
      <c r="V83" s="567"/>
      <c r="W83" s="567"/>
      <c r="X83" s="567"/>
      <c r="Y83" s="567"/>
      <c r="Z83" s="567"/>
      <c r="AA83" s="511"/>
      <c r="AB83" s="511"/>
      <c r="AC83" s="511"/>
      <c r="AD83" s="511"/>
      <c r="AE83" s="511"/>
      <c r="AF83" s="511"/>
      <c r="AG83" s="249"/>
      <c r="AH83" s="249"/>
    </row>
    <row r="84" spans="1:34" ht="15" customHeight="1">
      <c r="A84" s="313"/>
      <c r="B84" s="313"/>
      <c r="C84" s="313"/>
      <c r="D84" s="64"/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52"/>
      <c r="X84" s="52"/>
      <c r="Y84" s="52"/>
      <c r="Z84" s="52"/>
      <c r="AA84" s="52"/>
      <c r="AB84" s="52"/>
      <c r="AC84" s="52"/>
      <c r="AD84" s="52"/>
      <c r="AE84" s="52"/>
      <c r="AF84" s="52"/>
    </row>
    <row r="85" spans="1:34" ht="15" customHeight="1">
      <c r="A85" s="313"/>
      <c r="B85" s="313"/>
      <c r="C85" s="313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52"/>
      <c r="X85" s="52"/>
      <c r="Y85" s="52"/>
      <c r="Z85" s="52"/>
      <c r="AA85" s="52"/>
      <c r="AB85" s="52"/>
      <c r="AC85" s="52"/>
      <c r="AD85" s="52"/>
      <c r="AE85" s="52"/>
      <c r="AF85" s="52"/>
    </row>
    <row r="86" spans="1:34" ht="15" customHeight="1">
      <c r="A86" s="313"/>
      <c r="B86" s="313"/>
      <c r="C86" s="313"/>
      <c r="D86" s="64"/>
      <c r="E86" s="64"/>
      <c r="F86" s="64"/>
      <c r="G86" s="64"/>
      <c r="H86" s="64"/>
      <c r="I86" s="64"/>
      <c r="J86" s="64"/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52"/>
      <c r="X86" s="52"/>
      <c r="Y86" s="52"/>
      <c r="Z86" s="52"/>
      <c r="AA86" s="52"/>
      <c r="AB86" s="52"/>
      <c r="AC86" s="52"/>
      <c r="AD86" s="52"/>
      <c r="AE86" s="52"/>
      <c r="AF86" s="52"/>
    </row>
    <row r="87" spans="1:34" ht="114" customHeight="1">
      <c r="A87" s="313"/>
      <c r="B87" s="313"/>
      <c r="C87" s="313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52"/>
      <c r="X87" s="52"/>
      <c r="Y87" s="52"/>
      <c r="Z87" s="52"/>
      <c r="AA87" s="52"/>
      <c r="AB87" s="52"/>
      <c r="AC87" s="52"/>
      <c r="AD87" s="52"/>
      <c r="AE87" s="52"/>
      <c r="AF87" s="52"/>
    </row>
    <row r="88" spans="1:34" s="262" customFormat="1" ht="32.25" customHeight="1">
      <c r="A88" s="260"/>
      <c r="B88" s="571" t="s">
        <v>690</v>
      </c>
      <c r="C88" s="571"/>
      <c r="D88" s="571"/>
      <c r="E88" s="571"/>
      <c r="F88" s="571"/>
      <c r="G88" s="571"/>
      <c r="H88" s="571"/>
      <c r="I88" s="571"/>
      <c r="J88" s="261"/>
      <c r="K88" s="261"/>
      <c r="L88" s="261"/>
      <c r="M88" s="565" t="s">
        <v>158</v>
      </c>
      <c r="N88" s="565"/>
      <c r="O88" s="565"/>
      <c r="P88" s="565"/>
      <c r="Q88" s="565"/>
      <c r="R88" s="261"/>
      <c r="S88" s="261"/>
      <c r="T88" s="261"/>
      <c r="U88" s="261"/>
      <c r="V88" s="261"/>
      <c r="W88" s="566" t="s">
        <v>524</v>
      </c>
      <c r="X88" s="566"/>
      <c r="Y88" s="566"/>
      <c r="Z88" s="566"/>
      <c r="AA88" s="566"/>
      <c r="AG88" s="263"/>
      <c r="AH88" s="263"/>
    </row>
    <row r="89" spans="1:34" s="281" customFormat="1" ht="33.75" customHeight="1">
      <c r="B89" s="395"/>
      <c r="C89" s="395"/>
      <c r="D89" s="395"/>
      <c r="E89" s="395"/>
      <c r="F89" s="395"/>
      <c r="G89" s="395"/>
      <c r="H89" s="123"/>
      <c r="I89" s="123"/>
      <c r="J89" s="123"/>
      <c r="K89" s="123"/>
      <c r="L89" s="123"/>
      <c r="M89" s="395"/>
      <c r="N89" s="395"/>
      <c r="O89" s="395"/>
      <c r="P89" s="395"/>
      <c r="Q89" s="395"/>
      <c r="V89" s="106"/>
      <c r="W89" s="395"/>
      <c r="X89" s="395"/>
      <c r="Y89" s="395"/>
      <c r="Z89" s="395"/>
      <c r="AA89" s="395"/>
      <c r="AG89" s="251"/>
      <c r="AH89" s="251"/>
    </row>
    <row r="90" spans="1:34" s="306" customFormat="1">
      <c r="AG90" s="252"/>
      <c r="AH90" s="252"/>
    </row>
    <row r="91" spans="1:34"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</row>
    <row r="92" spans="1:34" s="600" customFormat="1" ht="13.2">
      <c r="A92" s="599" t="s">
        <v>322</v>
      </c>
    </row>
    <row r="93" spans="1:34"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</row>
    <row r="94" spans="1:34">
      <c r="C94" s="21"/>
    </row>
    <row r="97" spans="3:3">
      <c r="C97" s="35"/>
    </row>
    <row r="98" spans="3:3">
      <c r="C98" s="35"/>
    </row>
    <row r="99" spans="3:3">
      <c r="C99" s="35"/>
    </row>
    <row r="100" spans="3:3">
      <c r="C100" s="35"/>
    </row>
    <row r="101" spans="3:3">
      <c r="C101" s="35"/>
    </row>
    <row r="102" spans="3:3">
      <c r="C102" s="35"/>
    </row>
    <row r="103" spans="3:3">
      <c r="C103" s="35"/>
    </row>
  </sheetData>
  <sortState ref="A62:AH64">
    <sortCondition ref="B62:B64"/>
  </sortState>
  <mergeCells count="243">
    <mergeCell ref="AD1:AF1"/>
    <mergeCell ref="AA82:AF82"/>
    <mergeCell ref="AA83:AF83"/>
    <mergeCell ref="T28:T29"/>
    <mergeCell ref="V28:V29"/>
    <mergeCell ref="B27:L29"/>
    <mergeCell ref="D77:E79"/>
    <mergeCell ref="AD22:AF22"/>
    <mergeCell ref="AD26:AF26"/>
    <mergeCell ref="Q27:T27"/>
    <mergeCell ref="V77:Z79"/>
    <mergeCell ref="F82:G82"/>
    <mergeCell ref="F81:G81"/>
    <mergeCell ref="B82:C82"/>
    <mergeCell ref="R82:S82"/>
    <mergeCell ref="L81:M81"/>
    <mergeCell ref="N81:O81"/>
    <mergeCell ref="J81:K81"/>
    <mergeCell ref="AD9:AF9"/>
    <mergeCell ref="AD10:AF10"/>
    <mergeCell ref="AA10:AC10"/>
    <mergeCell ref="AD11:AF11"/>
    <mergeCell ref="X11:Z11"/>
    <mergeCell ref="R11:T11"/>
    <mergeCell ref="A92:XFD92"/>
    <mergeCell ref="AA77:AF79"/>
    <mergeCell ref="AD76:AF76"/>
    <mergeCell ref="W28:W29"/>
    <mergeCell ref="X28:X29"/>
    <mergeCell ref="AC28:AC29"/>
    <mergeCell ref="AA81:AF81"/>
    <mergeCell ref="AA80:AF80"/>
    <mergeCell ref="AD28:AD29"/>
    <mergeCell ref="H81:I81"/>
    <mergeCell ref="H82:I82"/>
    <mergeCell ref="J82:K82"/>
    <mergeCell ref="A27:A29"/>
    <mergeCell ref="AE28:AE29"/>
    <mergeCell ref="AF28:AF29"/>
    <mergeCell ref="Y27:AB27"/>
    <mergeCell ref="S28:S29"/>
    <mergeCell ref="D82:E82"/>
    <mergeCell ref="P81:Q81"/>
    <mergeCell ref="T81:U81"/>
    <mergeCell ref="R81:S81"/>
    <mergeCell ref="N78:O79"/>
    <mergeCell ref="F77:G79"/>
    <mergeCell ref="F80:G80"/>
    <mergeCell ref="AD19:AF19"/>
    <mergeCell ref="R28:R29"/>
    <mergeCell ref="AD20:AF20"/>
    <mergeCell ref="AA28:AA29"/>
    <mergeCell ref="AD21:AF21"/>
    <mergeCell ref="AD16:AF18"/>
    <mergeCell ref="AA16:AC18"/>
    <mergeCell ref="U20:W20"/>
    <mergeCell ref="U21:W21"/>
    <mergeCell ref="X22:Z22"/>
    <mergeCell ref="AA19:AC19"/>
    <mergeCell ref="R17:T18"/>
    <mergeCell ref="AB28:AB29"/>
    <mergeCell ref="AC27:AF27"/>
    <mergeCell ref="U27:X27"/>
    <mergeCell ref="R20:T20"/>
    <mergeCell ref="AA11:AC11"/>
    <mergeCell ref="Z26:AB26"/>
    <mergeCell ref="X17:Z18"/>
    <mergeCell ref="AA22:AC22"/>
    <mergeCell ref="AA21:AC21"/>
    <mergeCell ref="X21:Z21"/>
    <mergeCell ref="X19:Z19"/>
    <mergeCell ref="U19:W19"/>
    <mergeCell ref="U17:W18"/>
    <mergeCell ref="U11:W11"/>
    <mergeCell ref="AA20:AC20"/>
    <mergeCell ref="A77:A79"/>
    <mergeCell ref="J77:K79"/>
    <mergeCell ref="B31:L31"/>
    <mergeCell ref="L78:M79"/>
    <mergeCell ref="B38:L38"/>
    <mergeCell ref="B40:L40"/>
    <mergeCell ref="P79:Q79"/>
    <mergeCell ref="B67:L67"/>
    <mergeCell ref="R79:S79"/>
    <mergeCell ref="B39:L39"/>
    <mergeCell ref="B33:L33"/>
    <mergeCell ref="B37:L37"/>
    <mergeCell ref="B42:L42"/>
    <mergeCell ref="B43:L43"/>
    <mergeCell ref="B44:L44"/>
    <mergeCell ref="B45:L45"/>
    <mergeCell ref="B46:L46"/>
    <mergeCell ref="B47:L47"/>
    <mergeCell ref="B63:L63"/>
    <mergeCell ref="B48:L48"/>
    <mergeCell ref="B49:L49"/>
    <mergeCell ref="B50:L50"/>
    <mergeCell ref="B51:L51"/>
    <mergeCell ref="B52:L52"/>
    <mergeCell ref="A4:A5"/>
    <mergeCell ref="U9:W9"/>
    <mergeCell ref="U5:W5"/>
    <mergeCell ref="O28:O29"/>
    <mergeCell ref="B10:C10"/>
    <mergeCell ref="D10:F10"/>
    <mergeCell ref="D16:G18"/>
    <mergeCell ref="P16:Q18"/>
    <mergeCell ref="R16:Z16"/>
    <mergeCell ref="X5:Z5"/>
    <mergeCell ref="R6:T6"/>
    <mergeCell ref="U6:W6"/>
    <mergeCell ref="G4:Q5"/>
    <mergeCell ref="G6:Q6"/>
    <mergeCell ref="B4:C5"/>
    <mergeCell ref="D4:F5"/>
    <mergeCell ref="G9:Q9"/>
    <mergeCell ref="X6:Z6"/>
    <mergeCell ref="D6:F6"/>
    <mergeCell ref="A11:Q11"/>
    <mergeCell ref="B16:C18"/>
    <mergeCell ref="B19:C19"/>
    <mergeCell ref="B6:C6"/>
    <mergeCell ref="B7:C7"/>
    <mergeCell ref="D7:F7"/>
    <mergeCell ref="D8:F8"/>
    <mergeCell ref="G7:Q7"/>
    <mergeCell ref="G8:Q8"/>
    <mergeCell ref="R7:T7"/>
    <mergeCell ref="R9:T9"/>
    <mergeCell ref="X7:Z7"/>
    <mergeCell ref="X8:Z8"/>
    <mergeCell ref="U7:W7"/>
    <mergeCell ref="U8:W8"/>
    <mergeCell ref="D9:F9"/>
    <mergeCell ref="AD4:AF5"/>
    <mergeCell ref="AA4:AC5"/>
    <mergeCell ref="R4:Z4"/>
    <mergeCell ref="R5:T5"/>
    <mergeCell ref="G10:Q10"/>
    <mergeCell ref="U10:W10"/>
    <mergeCell ref="X9:Z9"/>
    <mergeCell ref="AD6:AF6"/>
    <mergeCell ref="AA9:AC9"/>
    <mergeCell ref="AA6:AC6"/>
    <mergeCell ref="X10:Z10"/>
    <mergeCell ref="R8:T8"/>
    <mergeCell ref="R10:T10"/>
    <mergeCell ref="AA7:AC7"/>
    <mergeCell ref="AD7:AF7"/>
    <mergeCell ref="AA8:AC8"/>
    <mergeCell ref="AD8:AF8"/>
    <mergeCell ref="R80:S80"/>
    <mergeCell ref="T80:U80"/>
    <mergeCell ref="B89:G89"/>
    <mergeCell ref="W89:AA89"/>
    <mergeCell ref="M88:Q88"/>
    <mergeCell ref="M89:Q89"/>
    <mergeCell ref="V82:Z82"/>
    <mergeCell ref="R83:S83"/>
    <mergeCell ref="H83:I83"/>
    <mergeCell ref="L83:M83"/>
    <mergeCell ref="N83:O83"/>
    <mergeCell ref="W88:AA88"/>
    <mergeCell ref="T83:U83"/>
    <mergeCell ref="V83:Z83"/>
    <mergeCell ref="J83:K83"/>
    <mergeCell ref="P83:Q83"/>
    <mergeCell ref="F83:G83"/>
    <mergeCell ref="L82:M82"/>
    <mergeCell ref="A83:E83"/>
    <mergeCell ref="T82:U82"/>
    <mergeCell ref="P82:Q82"/>
    <mergeCell ref="N82:O82"/>
    <mergeCell ref="B88:I88"/>
    <mergeCell ref="L80:M80"/>
    <mergeCell ref="D80:E80"/>
    <mergeCell ref="A71:L71"/>
    <mergeCell ref="B70:L70"/>
    <mergeCell ref="B80:C80"/>
    <mergeCell ref="V81:Z81"/>
    <mergeCell ref="N80:O80"/>
    <mergeCell ref="R19:T19"/>
    <mergeCell ref="P80:Q80"/>
    <mergeCell ref="V80:Z80"/>
    <mergeCell ref="T79:U79"/>
    <mergeCell ref="R22:T22"/>
    <mergeCell ref="H20:O20"/>
    <mergeCell ref="P78:U78"/>
    <mergeCell ref="X20:Z20"/>
    <mergeCell ref="Y28:Y29"/>
    <mergeCell ref="Z28:Z29"/>
    <mergeCell ref="R21:T21"/>
    <mergeCell ref="P20:Q20"/>
    <mergeCell ref="P21:Q21"/>
    <mergeCell ref="Q28:Q29"/>
    <mergeCell ref="B58:L58"/>
    <mergeCell ref="B59:L59"/>
    <mergeCell ref="D19:G19"/>
    <mergeCell ref="U28:U29"/>
    <mergeCell ref="D81:E81"/>
    <mergeCell ref="B81:C81"/>
    <mergeCell ref="B69:L69"/>
    <mergeCell ref="J80:K80"/>
    <mergeCell ref="U22:W22"/>
    <mergeCell ref="B41:L41"/>
    <mergeCell ref="H77:I79"/>
    <mergeCell ref="H80:I80"/>
    <mergeCell ref="B57:L57"/>
    <mergeCell ref="B60:L60"/>
    <mergeCell ref="B62:L62"/>
    <mergeCell ref="B64:L64"/>
    <mergeCell ref="B65:L65"/>
    <mergeCell ref="B36:L36"/>
    <mergeCell ref="B30:L30"/>
    <mergeCell ref="B55:L55"/>
    <mergeCell ref="B56:L56"/>
    <mergeCell ref="B35:L35"/>
    <mergeCell ref="B77:C79"/>
    <mergeCell ref="L77:U77"/>
    <mergeCell ref="B32:L32"/>
    <mergeCell ref="B66:L66"/>
    <mergeCell ref="B68:L68"/>
    <mergeCell ref="A72:L72"/>
    <mergeCell ref="B9:C9"/>
    <mergeCell ref="B8:C8"/>
    <mergeCell ref="N28:N29"/>
    <mergeCell ref="H21:O21"/>
    <mergeCell ref="H19:O19"/>
    <mergeCell ref="B21:C21"/>
    <mergeCell ref="P19:Q19"/>
    <mergeCell ref="A22:Q22"/>
    <mergeCell ref="D20:G20"/>
    <mergeCell ref="D21:G21"/>
    <mergeCell ref="B20:C20"/>
    <mergeCell ref="B53:L53"/>
    <mergeCell ref="B54:L54"/>
    <mergeCell ref="B61:L61"/>
    <mergeCell ref="A16:A18"/>
    <mergeCell ref="H16:O18"/>
    <mergeCell ref="M27:P27"/>
    <mergeCell ref="P28:P29"/>
    <mergeCell ref="M28:M29"/>
    <mergeCell ref="B34:L34"/>
  </mergeCells>
  <phoneticPr fontId="3" type="noConversion"/>
  <printOptions horizontalCentered="1"/>
  <pageMargins left="0.59055118110236227" right="0.59055118110236227" top="0.98425196850393704" bottom="0.59055118110236227" header="0" footer="0"/>
  <pageSetup paperSize="9" scale="31" fitToHeight="3" orientation="landscape" blackAndWhite="1" verticalDpi="1200" r:id="rId1"/>
  <headerFooter alignWithMargins="0"/>
  <rowBreaks count="1" manualBreakCount="1">
    <brk id="63" max="31" man="1"/>
  </rowBreaks>
  <ignoredErrors>
    <ignoredError sqref="AE72:AF72 F83:K83" formulaRange="1"/>
    <ignoredError sqref="AA72:AB72 O72 P72 S72:T72 W72:X72" evalError="1" formulaRange="1"/>
    <ignoredError sqref="AC72:AD72 AE9:AF9" evalError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2:I18"/>
  <sheetViews>
    <sheetView zoomScale="75" zoomScaleNormal="75" zoomScaleSheetLayoutView="75" workbookViewId="0">
      <selection activeCell="K9" sqref="K9"/>
    </sheetView>
  </sheetViews>
  <sheetFormatPr defaultColWidth="8.88671875" defaultRowHeight="13.2"/>
  <cols>
    <col min="1" max="1" width="39.44140625" style="36" customWidth="1"/>
    <col min="2" max="2" width="12.88671875" style="36" customWidth="1"/>
    <col min="3" max="3" width="19.6640625" style="36" customWidth="1"/>
    <col min="4" max="4" width="19" style="36" customWidth="1"/>
    <col min="5" max="6" width="18.109375" style="36" customWidth="1"/>
    <col min="7" max="7" width="18.33203125" style="36" customWidth="1"/>
    <col min="8" max="8" width="18.6640625" style="36" customWidth="1"/>
    <col min="9" max="16384" width="8.88671875" style="36"/>
  </cols>
  <sheetData>
    <row r="2" spans="1:9" ht="31.5" customHeight="1">
      <c r="G2" s="614" t="s">
        <v>346</v>
      </c>
      <c r="H2" s="614"/>
    </row>
    <row r="3" spans="1:9" ht="32.25" customHeight="1">
      <c r="A3" s="388" t="s">
        <v>385</v>
      </c>
      <c r="B3" s="388"/>
      <c r="C3" s="388"/>
      <c r="D3" s="388"/>
      <c r="E3" s="388"/>
      <c r="F3" s="388"/>
      <c r="G3" s="388"/>
      <c r="H3" s="388"/>
    </row>
    <row r="4" spans="1:9" ht="28.5" customHeight="1">
      <c r="A4" s="615" t="s">
        <v>423</v>
      </c>
      <c r="B4" s="615"/>
      <c r="C4" s="615"/>
      <c r="D4" s="615"/>
      <c r="E4" s="615"/>
      <c r="F4" s="615"/>
      <c r="G4" s="615"/>
      <c r="H4" s="615"/>
    </row>
    <row r="5" spans="1:9" ht="45.75" customHeight="1">
      <c r="A5" s="616" t="s">
        <v>152</v>
      </c>
      <c r="B5" s="466" t="s">
        <v>18</v>
      </c>
      <c r="C5" s="466" t="s">
        <v>386</v>
      </c>
      <c r="D5" s="466"/>
      <c r="E5" s="423" t="s">
        <v>695</v>
      </c>
      <c r="F5" s="423"/>
      <c r="G5" s="423"/>
      <c r="H5" s="423"/>
    </row>
    <row r="6" spans="1:9" ht="65.25" customHeight="1">
      <c r="A6" s="617"/>
      <c r="B6" s="466"/>
      <c r="C6" s="304" t="s">
        <v>703</v>
      </c>
      <c r="D6" s="304" t="s">
        <v>697</v>
      </c>
      <c r="E6" s="304" t="s">
        <v>143</v>
      </c>
      <c r="F6" s="304" t="s">
        <v>139</v>
      </c>
      <c r="G6" s="93" t="s">
        <v>149</v>
      </c>
      <c r="H6" s="93" t="s">
        <v>150</v>
      </c>
    </row>
    <row r="7" spans="1:9" ht="30" customHeight="1">
      <c r="A7" s="288">
        <v>1</v>
      </c>
      <c r="B7" s="304">
        <v>2</v>
      </c>
      <c r="C7" s="288">
        <v>3</v>
      </c>
      <c r="D7" s="304">
        <v>4</v>
      </c>
      <c r="E7" s="288">
        <v>5</v>
      </c>
      <c r="F7" s="304">
        <v>6</v>
      </c>
      <c r="G7" s="288">
        <v>7</v>
      </c>
      <c r="H7" s="304">
        <v>8</v>
      </c>
    </row>
    <row r="8" spans="1:9" ht="28.5" customHeight="1">
      <c r="A8" s="610" t="s">
        <v>330</v>
      </c>
      <c r="B8" s="611"/>
      <c r="C8" s="611"/>
      <c r="D8" s="611"/>
      <c r="E8" s="611"/>
      <c r="F8" s="611"/>
      <c r="G8" s="611"/>
      <c r="H8" s="612"/>
    </row>
    <row r="9" spans="1:9" ht="51" customHeight="1">
      <c r="A9" s="293" t="s">
        <v>428</v>
      </c>
      <c r="B9" s="124">
        <v>6000</v>
      </c>
      <c r="C9" s="351">
        <f>SUM(C11:C12)</f>
        <v>189997</v>
      </c>
      <c r="D9" s="351">
        <f t="shared" ref="D9:F9" si="0">SUM(D11:D12)</f>
        <v>184555</v>
      </c>
      <c r="E9" s="351">
        <f t="shared" si="0"/>
        <v>184555</v>
      </c>
      <c r="F9" s="351">
        <f t="shared" si="0"/>
        <v>184555</v>
      </c>
      <c r="G9" s="351">
        <f t="shared" ref="G9" si="1">F9-E9</f>
        <v>0</v>
      </c>
      <c r="H9" s="352">
        <f t="shared" ref="H9" si="2">IF(E9=0,0,F9/E9*100)</f>
        <v>100</v>
      </c>
    </row>
    <row r="10" spans="1:9" ht="39.75" customHeight="1">
      <c r="A10" s="613" t="s">
        <v>331</v>
      </c>
      <c r="B10" s="611"/>
      <c r="C10" s="611"/>
      <c r="D10" s="611"/>
      <c r="E10" s="611"/>
      <c r="F10" s="611"/>
      <c r="G10" s="611"/>
      <c r="H10" s="612"/>
    </row>
    <row r="11" spans="1:9" ht="51" customHeight="1">
      <c r="A11" s="303" t="s">
        <v>409</v>
      </c>
      <c r="B11" s="86">
        <v>6010</v>
      </c>
      <c r="C11" s="353">
        <f>'Розшифровка до Статутного'!C7</f>
        <v>113614</v>
      </c>
      <c r="D11" s="353">
        <f>'Розшифровка до Статутного'!E7</f>
        <v>184555</v>
      </c>
      <c r="E11" s="353">
        <f>'Розшифровка до Статутного'!D7</f>
        <v>184555</v>
      </c>
      <c r="F11" s="353">
        <f>D11</f>
        <v>184555</v>
      </c>
      <c r="G11" s="353">
        <f t="shared" ref="G11" si="3">F11-E11</f>
        <v>0</v>
      </c>
      <c r="H11" s="354">
        <f t="shared" ref="H11" si="4">IF(E11=0,0,F11/E11*100)</f>
        <v>100</v>
      </c>
    </row>
    <row r="12" spans="1:9" ht="51" customHeight="1">
      <c r="A12" s="303" t="s">
        <v>332</v>
      </c>
      <c r="B12" s="288">
        <v>6020</v>
      </c>
      <c r="C12" s="353">
        <f>'Розшифровка до Статутного'!C24</f>
        <v>76383</v>
      </c>
      <c r="D12" s="353">
        <f>'Розшифровка до Статутного'!E24</f>
        <v>0</v>
      </c>
      <c r="E12" s="353">
        <f>'Розшифровка до Статутного'!D24</f>
        <v>0</v>
      </c>
      <c r="F12" s="353">
        <f>D12</f>
        <v>0</v>
      </c>
      <c r="G12" s="353">
        <f t="shared" ref="G12" si="5">F12-E12</f>
        <v>0</v>
      </c>
      <c r="H12" s="354">
        <f t="shared" ref="H12" si="6">IF(E12=0,0,F12/E12*100)</f>
        <v>0</v>
      </c>
    </row>
    <row r="13" spans="1:9" ht="76.2" customHeight="1">
      <c r="A13" s="58"/>
      <c r="B13" s="66"/>
      <c r="C13" s="67"/>
      <c r="D13" s="67"/>
      <c r="E13" s="67"/>
      <c r="F13" s="67"/>
      <c r="G13" s="67"/>
      <c r="H13" s="68"/>
    </row>
    <row r="14" spans="1:9" s="52" customFormat="1" ht="27.6" customHeight="1">
      <c r="A14" s="405" t="s">
        <v>523</v>
      </c>
      <c r="B14" s="405"/>
      <c r="C14" s="462" t="s">
        <v>420</v>
      </c>
      <c r="D14" s="462"/>
      <c r="E14" s="462"/>
      <c r="F14" s="460" t="s">
        <v>524</v>
      </c>
      <c r="G14" s="460"/>
      <c r="H14" s="460"/>
      <c r="I14" s="299"/>
    </row>
    <row r="15" spans="1:9" s="228" customFormat="1" ht="15.6">
      <c r="A15" s="289"/>
      <c r="B15" s="116"/>
      <c r="C15" s="420"/>
      <c r="D15" s="420"/>
      <c r="E15" s="116"/>
      <c r="F15" s="420"/>
      <c r="G15" s="420"/>
      <c r="H15" s="116"/>
    </row>
    <row r="18" ht="3" customHeight="1"/>
  </sheetData>
  <mergeCells count="14">
    <mergeCell ref="G2:H2"/>
    <mergeCell ref="A3:H3"/>
    <mergeCell ref="A4:H4"/>
    <mergeCell ref="A5:A6"/>
    <mergeCell ref="B5:B6"/>
    <mergeCell ref="C5:D5"/>
    <mergeCell ref="E5:H5"/>
    <mergeCell ref="A8:H8"/>
    <mergeCell ref="A10:H10"/>
    <mergeCell ref="C15:D15"/>
    <mergeCell ref="F15:G15"/>
    <mergeCell ref="A14:B14"/>
    <mergeCell ref="C14:E14"/>
    <mergeCell ref="F14:H14"/>
  </mergeCells>
  <printOptions horizontalCentered="1"/>
  <pageMargins left="0.59055118110236227" right="0.59055118110236227" top="0.98425196850393704" bottom="0.59055118110236227" header="0" footer="0"/>
  <pageSetup paperSize="9" scale="83" orientation="landscape" blackAndWhite="1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2:I233"/>
  <sheetViews>
    <sheetView view="pageBreakPreview" topLeftCell="A16" zoomScale="70" zoomScaleNormal="80" zoomScaleSheetLayoutView="70" workbookViewId="0">
      <selection activeCell="M7" sqref="M7"/>
    </sheetView>
  </sheetViews>
  <sheetFormatPr defaultColWidth="9.109375" defaultRowHeight="18"/>
  <cols>
    <col min="1" max="1" width="62.44140625" style="305" customWidth="1"/>
    <col min="2" max="2" width="12.5546875" style="306" customWidth="1"/>
    <col min="3" max="3" width="14.88671875" style="306" customWidth="1"/>
    <col min="4" max="4" width="16.109375" style="306" customWidth="1"/>
    <col min="5" max="5" width="16.6640625" style="365" customWidth="1"/>
    <col min="6" max="6" width="17" style="306" customWidth="1"/>
    <col min="7" max="7" width="15.5546875" style="306" customWidth="1"/>
    <col min="8" max="16384" width="9.109375" style="305"/>
  </cols>
  <sheetData>
    <row r="2" spans="1:9" ht="33.75" customHeight="1">
      <c r="A2" s="413" t="s">
        <v>400</v>
      </c>
      <c r="B2" s="413"/>
      <c r="C2" s="413"/>
      <c r="D2" s="413"/>
      <c r="E2" s="413"/>
      <c r="F2" s="413"/>
      <c r="G2" s="413"/>
    </row>
    <row r="3" spans="1:9" ht="28.5" customHeight="1">
      <c r="A3" s="286"/>
      <c r="B3" s="90"/>
      <c r="C3" s="90"/>
      <c r="D3" s="286"/>
      <c r="E3" s="358"/>
      <c r="F3" s="286"/>
      <c r="G3" s="226" t="s">
        <v>423</v>
      </c>
    </row>
    <row r="4" spans="1:9" ht="60" customHeight="1">
      <c r="A4" s="288" t="s">
        <v>152</v>
      </c>
      <c r="B4" s="304" t="s">
        <v>18</v>
      </c>
      <c r="C4" s="304" t="s">
        <v>706</v>
      </c>
      <c r="D4" s="304" t="s">
        <v>707</v>
      </c>
      <c r="E4" s="359" t="s">
        <v>708</v>
      </c>
      <c r="F4" s="304" t="s">
        <v>410</v>
      </c>
      <c r="G4" s="172" t="s">
        <v>421</v>
      </c>
    </row>
    <row r="5" spans="1:9" ht="23.25" customHeight="1">
      <c r="A5" s="288">
        <v>1</v>
      </c>
      <c r="B5" s="304">
        <v>2</v>
      </c>
      <c r="C5" s="304">
        <v>3</v>
      </c>
      <c r="D5" s="304">
        <v>4</v>
      </c>
      <c r="E5" s="359">
        <v>5</v>
      </c>
      <c r="F5" s="304">
        <v>6</v>
      </c>
      <c r="G5" s="304">
        <v>7</v>
      </c>
    </row>
    <row r="6" spans="1:9" s="137" customFormat="1" ht="44.25" customHeight="1">
      <c r="A6" s="293" t="s">
        <v>392</v>
      </c>
      <c r="B6" s="295">
        <v>6000</v>
      </c>
      <c r="C6" s="351">
        <f>C7+C24</f>
        <v>189997</v>
      </c>
      <c r="D6" s="351">
        <f>D7+D24</f>
        <v>184555</v>
      </c>
      <c r="E6" s="360">
        <f>E7+E24</f>
        <v>184555</v>
      </c>
      <c r="F6" s="353">
        <f>E6-D6</f>
        <v>0</v>
      </c>
      <c r="G6" s="225">
        <f>(E6/D6)*100</f>
        <v>100</v>
      </c>
    </row>
    <row r="7" spans="1:9" s="137" customFormat="1" ht="31.5" customHeight="1">
      <c r="A7" s="293" t="s">
        <v>393</v>
      </c>
      <c r="B7" s="295">
        <v>6010</v>
      </c>
      <c r="C7" s="351">
        <f>SUM(C8:C23)</f>
        <v>113614</v>
      </c>
      <c r="D7" s="351">
        <f>SUM(D8:D23)</f>
        <v>184555</v>
      </c>
      <c r="E7" s="351">
        <f>SUM(E8:E23)</f>
        <v>184555</v>
      </c>
      <c r="F7" s="353">
        <f t="shared" ref="F7" si="0">E7-D7</f>
        <v>0</v>
      </c>
      <c r="G7" s="225">
        <f t="shared" ref="G7" si="1">(E7/D7)*100</f>
        <v>100</v>
      </c>
    </row>
    <row r="8" spans="1:9" s="137" customFormat="1" ht="37.200000000000003" customHeight="1">
      <c r="A8" s="271" t="s">
        <v>718</v>
      </c>
      <c r="B8" s="304"/>
      <c r="C8" s="353"/>
      <c r="D8" s="353">
        <v>2781</v>
      </c>
      <c r="E8" s="361">
        <v>2781</v>
      </c>
      <c r="F8" s="353">
        <f t="shared" ref="F8:F23" si="2">E8-D8</f>
        <v>0</v>
      </c>
      <c r="G8" s="225">
        <f>(E8/D8)*100</f>
        <v>100</v>
      </c>
    </row>
    <row r="9" spans="1:9" s="173" customFormat="1" ht="56.4" customHeight="1">
      <c r="A9" s="163" t="s">
        <v>717</v>
      </c>
      <c r="B9" s="304"/>
      <c r="C9" s="355"/>
      <c r="D9" s="353">
        <v>117978</v>
      </c>
      <c r="E9" s="361">
        <v>117978</v>
      </c>
      <c r="F9" s="353">
        <f t="shared" si="2"/>
        <v>0</v>
      </c>
      <c r="G9" s="225">
        <f>(E9/D9)*100</f>
        <v>100</v>
      </c>
    </row>
    <row r="10" spans="1:9" s="173" customFormat="1" ht="28.2" customHeight="1">
      <c r="A10" s="177" t="s">
        <v>602</v>
      </c>
      <c r="B10" s="304"/>
      <c r="C10" s="353">
        <v>77278</v>
      </c>
      <c r="D10" s="353"/>
      <c r="E10" s="361"/>
      <c r="F10" s="353">
        <f t="shared" si="2"/>
        <v>0</v>
      </c>
      <c r="G10" s="225"/>
      <c r="H10" s="137"/>
      <c r="I10" s="137"/>
    </row>
    <row r="11" spans="1:9" s="137" customFormat="1" ht="55.2" customHeight="1">
      <c r="A11" s="177" t="s">
        <v>719</v>
      </c>
      <c r="B11" s="304"/>
      <c r="C11" s="356"/>
      <c r="D11" s="353">
        <v>926</v>
      </c>
      <c r="E11" s="361">
        <v>926</v>
      </c>
      <c r="F11" s="353">
        <f t="shared" si="2"/>
        <v>0</v>
      </c>
      <c r="G11" s="225">
        <f>(E11/D11)*100</f>
        <v>100</v>
      </c>
    </row>
    <row r="12" spans="1:9" s="137" customFormat="1" ht="36">
      <c r="A12" s="163" t="s">
        <v>720</v>
      </c>
      <c r="B12" s="304"/>
      <c r="C12" s="356"/>
      <c r="D12" s="353">
        <v>7605</v>
      </c>
      <c r="E12" s="361">
        <v>7605</v>
      </c>
      <c r="F12" s="353">
        <f t="shared" si="2"/>
        <v>0</v>
      </c>
      <c r="G12" s="225">
        <f>(E12/D12)*100</f>
        <v>100</v>
      </c>
    </row>
    <row r="13" spans="1:9" s="137" customFormat="1">
      <c r="A13" s="177" t="s">
        <v>721</v>
      </c>
      <c r="B13" s="304"/>
      <c r="C13" s="355"/>
      <c r="D13" s="353">
        <v>11921</v>
      </c>
      <c r="E13" s="361">
        <v>11921</v>
      </c>
      <c r="F13" s="353">
        <f t="shared" si="2"/>
        <v>0</v>
      </c>
      <c r="G13" s="225">
        <f>(E13/D13)*100</f>
        <v>100</v>
      </c>
      <c r="H13" s="173"/>
      <c r="I13" s="173"/>
    </row>
    <row r="14" spans="1:9" s="137" customFormat="1">
      <c r="A14" s="163" t="s">
        <v>722</v>
      </c>
      <c r="B14" s="304"/>
      <c r="C14" s="356"/>
      <c r="D14" s="353">
        <v>7489</v>
      </c>
      <c r="E14" s="361">
        <v>7489</v>
      </c>
      <c r="F14" s="353">
        <f t="shared" si="2"/>
        <v>0</v>
      </c>
      <c r="G14" s="225">
        <f>(E14/D14)*100</f>
        <v>100</v>
      </c>
    </row>
    <row r="15" spans="1:9" s="137" customFormat="1" ht="58.95" customHeight="1">
      <c r="A15" s="163" t="s">
        <v>723</v>
      </c>
      <c r="B15" s="304"/>
      <c r="C15" s="356"/>
      <c r="D15" s="353">
        <v>12162</v>
      </c>
      <c r="E15" s="361">
        <v>12162</v>
      </c>
      <c r="F15" s="353">
        <f t="shared" si="2"/>
        <v>0</v>
      </c>
      <c r="G15" s="225">
        <f>(E15/D15)*100</f>
        <v>100</v>
      </c>
    </row>
    <row r="16" spans="1:9" s="137" customFormat="1" ht="35.4" customHeight="1">
      <c r="A16" s="174" t="s">
        <v>540</v>
      </c>
      <c r="B16" s="304"/>
      <c r="C16" s="356">
        <v>2000</v>
      </c>
      <c r="D16" s="353"/>
      <c r="E16" s="361"/>
      <c r="F16" s="353">
        <f t="shared" si="2"/>
        <v>0</v>
      </c>
      <c r="G16" s="225"/>
    </row>
    <row r="17" spans="1:9" s="137" customFormat="1" ht="35.4" customHeight="1">
      <c r="A17" s="163" t="s">
        <v>745</v>
      </c>
      <c r="B17" s="304"/>
      <c r="C17" s="356"/>
      <c r="D17" s="353">
        <v>6820</v>
      </c>
      <c r="E17" s="361">
        <v>6820</v>
      </c>
      <c r="F17" s="353">
        <f t="shared" si="2"/>
        <v>0</v>
      </c>
      <c r="G17" s="225">
        <f>(E17/D17)*100</f>
        <v>100</v>
      </c>
    </row>
    <row r="18" spans="1:9" s="137" customFormat="1" ht="39.6" customHeight="1">
      <c r="A18" s="174" t="s">
        <v>724</v>
      </c>
      <c r="B18" s="304"/>
      <c r="C18" s="356"/>
      <c r="D18" s="353">
        <v>7332</v>
      </c>
      <c r="E18" s="361">
        <v>7332</v>
      </c>
      <c r="F18" s="353">
        <f t="shared" si="2"/>
        <v>0</v>
      </c>
      <c r="G18" s="225">
        <f>(E18/D18)*100</f>
        <v>100</v>
      </c>
    </row>
    <row r="19" spans="1:9" s="137" customFormat="1" ht="25.8" customHeight="1">
      <c r="A19" s="163" t="s">
        <v>725</v>
      </c>
      <c r="B19" s="304"/>
      <c r="C19" s="356"/>
      <c r="D19" s="353">
        <v>4590</v>
      </c>
      <c r="E19" s="361">
        <v>4590</v>
      </c>
      <c r="F19" s="353">
        <f t="shared" si="2"/>
        <v>0</v>
      </c>
      <c r="G19" s="225">
        <f>(E19/D19)*100</f>
        <v>100</v>
      </c>
    </row>
    <row r="20" spans="1:9" s="137" customFormat="1" ht="45" customHeight="1">
      <c r="A20" s="163" t="s">
        <v>726</v>
      </c>
      <c r="B20" s="304"/>
      <c r="C20" s="356"/>
      <c r="D20" s="353">
        <v>2064</v>
      </c>
      <c r="E20" s="361">
        <v>2064</v>
      </c>
      <c r="F20" s="353">
        <f t="shared" si="2"/>
        <v>0</v>
      </c>
      <c r="G20" s="225">
        <f>(E20/D20)*100</f>
        <v>100</v>
      </c>
    </row>
    <row r="21" spans="1:9" s="137" customFormat="1" ht="36">
      <c r="A21" s="165" t="s">
        <v>624</v>
      </c>
      <c r="B21" s="304"/>
      <c r="C21" s="356">
        <v>34336</v>
      </c>
      <c r="D21" s="353"/>
      <c r="E21" s="361"/>
      <c r="F21" s="353">
        <f t="shared" si="2"/>
        <v>0</v>
      </c>
      <c r="G21" s="225"/>
    </row>
    <row r="22" spans="1:9" s="137" customFormat="1">
      <c r="A22" s="163" t="s">
        <v>727</v>
      </c>
      <c r="B22" s="304"/>
      <c r="C22" s="356"/>
      <c r="D22" s="353">
        <v>1300</v>
      </c>
      <c r="E22" s="361">
        <v>1300</v>
      </c>
      <c r="F22" s="353">
        <f t="shared" si="2"/>
        <v>0</v>
      </c>
      <c r="G22" s="225">
        <f>(E22/D22)*100</f>
        <v>100</v>
      </c>
    </row>
    <row r="23" spans="1:9" s="137" customFormat="1" ht="36">
      <c r="A23" s="163" t="s">
        <v>728</v>
      </c>
      <c r="B23" s="304"/>
      <c r="C23" s="356"/>
      <c r="D23" s="353">
        <v>1587</v>
      </c>
      <c r="E23" s="361">
        <v>1587</v>
      </c>
      <c r="F23" s="353">
        <f t="shared" si="2"/>
        <v>0</v>
      </c>
      <c r="G23" s="225">
        <f>(E23/D23)*100</f>
        <v>100</v>
      </c>
    </row>
    <row r="24" spans="1:9" s="137" customFormat="1">
      <c r="A24" s="180" t="s">
        <v>543</v>
      </c>
      <c r="B24" s="181">
        <v>6020</v>
      </c>
      <c r="C24" s="357">
        <f>C25+C26</f>
        <v>76383</v>
      </c>
      <c r="D24" s="357">
        <f t="shared" ref="D24:E24" si="3">D25+D26</f>
        <v>0</v>
      </c>
      <c r="E24" s="362">
        <f t="shared" si="3"/>
        <v>0</v>
      </c>
      <c r="F24" s="353">
        <f t="shared" ref="F24:F26" si="4">E24-D24</f>
        <v>0</v>
      </c>
      <c r="G24" s="225"/>
    </row>
    <row r="25" spans="1:9" s="137" customFormat="1" ht="36">
      <c r="A25" s="165" t="s">
        <v>541</v>
      </c>
      <c r="B25" s="181"/>
      <c r="C25" s="356">
        <v>33750</v>
      </c>
      <c r="D25" s="353"/>
      <c r="E25" s="361"/>
      <c r="F25" s="353">
        <f t="shared" si="4"/>
        <v>0</v>
      </c>
      <c r="G25" s="225"/>
    </row>
    <row r="26" spans="1:9" s="137" customFormat="1" ht="54">
      <c r="A26" s="165" t="s">
        <v>542</v>
      </c>
      <c r="B26" s="181"/>
      <c r="C26" s="356">
        <v>42633</v>
      </c>
      <c r="D26" s="353"/>
      <c r="E26" s="361"/>
      <c r="F26" s="353">
        <f t="shared" si="4"/>
        <v>0</v>
      </c>
      <c r="G26" s="225"/>
    </row>
    <row r="27" spans="1:9" s="137" customFormat="1">
      <c r="A27" s="182"/>
      <c r="B27" s="136"/>
      <c r="C27" s="136"/>
      <c r="D27" s="296"/>
      <c r="E27" s="363"/>
      <c r="F27" s="178"/>
      <c r="G27" s="178"/>
    </row>
    <row r="28" spans="1:9" s="137" customFormat="1" ht="47.4" customHeight="1">
      <c r="A28" s="182"/>
      <c r="B28" s="136"/>
      <c r="C28" s="136"/>
      <c r="D28" s="296"/>
      <c r="E28" s="363"/>
      <c r="F28" s="178"/>
      <c r="G28" s="178"/>
    </row>
    <row r="29" spans="1:9" s="52" customFormat="1" ht="31.95" customHeight="1">
      <c r="A29" s="405" t="s">
        <v>523</v>
      </c>
      <c r="B29" s="405"/>
      <c r="C29" s="282"/>
      <c r="D29" s="406" t="s">
        <v>80</v>
      </c>
      <c r="E29" s="406"/>
      <c r="F29" s="460" t="s">
        <v>524</v>
      </c>
      <c r="G29" s="460"/>
      <c r="H29" s="309"/>
      <c r="I29" s="299"/>
    </row>
    <row r="30" spans="1:9">
      <c r="A30" s="1"/>
      <c r="D30" s="98"/>
      <c r="E30" s="364"/>
      <c r="F30" s="227"/>
      <c r="G30" s="227"/>
    </row>
    <row r="31" spans="1:9">
      <c r="A31" s="1"/>
      <c r="D31" s="98"/>
      <c r="E31" s="364"/>
      <c r="F31" s="227"/>
      <c r="G31" s="227"/>
    </row>
    <row r="32" spans="1:9">
      <c r="A32" s="1"/>
      <c r="D32" s="98"/>
      <c r="E32" s="364"/>
      <c r="F32" s="227"/>
      <c r="G32" s="227"/>
    </row>
    <row r="33" spans="1:7">
      <c r="A33" s="1"/>
      <c r="D33" s="98"/>
      <c r="E33" s="364"/>
      <c r="F33" s="227"/>
      <c r="G33" s="227"/>
    </row>
    <row r="34" spans="1:7">
      <c r="A34" s="1"/>
      <c r="D34" s="98"/>
      <c r="E34" s="364"/>
      <c r="F34" s="227"/>
      <c r="G34" s="227"/>
    </row>
    <row r="35" spans="1:7">
      <c r="A35" s="1"/>
      <c r="D35" s="98"/>
      <c r="E35" s="364"/>
      <c r="F35" s="227"/>
      <c r="G35" s="227"/>
    </row>
    <row r="36" spans="1:7">
      <c r="A36" s="1"/>
      <c r="D36" s="98"/>
      <c r="E36" s="364"/>
      <c r="F36" s="227"/>
      <c r="G36" s="227"/>
    </row>
    <row r="37" spans="1:7">
      <c r="A37" s="1"/>
      <c r="D37" s="98"/>
      <c r="E37" s="364"/>
      <c r="F37" s="227"/>
      <c r="G37" s="227"/>
    </row>
    <row r="38" spans="1:7">
      <c r="A38" s="1"/>
      <c r="D38" s="98"/>
      <c r="E38" s="364"/>
      <c r="F38" s="227"/>
      <c r="G38" s="227"/>
    </row>
    <row r="39" spans="1:7">
      <c r="A39" s="1"/>
      <c r="D39" s="98"/>
      <c r="E39" s="364"/>
      <c r="F39" s="227"/>
      <c r="G39" s="227"/>
    </row>
    <row r="40" spans="1:7">
      <c r="A40" s="1"/>
      <c r="D40" s="98"/>
      <c r="E40" s="364"/>
      <c r="F40" s="227"/>
      <c r="G40" s="227"/>
    </row>
    <row r="41" spans="1:7">
      <c r="A41" s="1"/>
      <c r="D41" s="98"/>
      <c r="E41" s="364"/>
      <c r="F41" s="227"/>
      <c r="G41" s="227"/>
    </row>
    <row r="42" spans="1:7">
      <c r="A42" s="1"/>
      <c r="D42" s="98"/>
      <c r="E42" s="364"/>
      <c r="F42" s="227"/>
      <c r="G42" s="227"/>
    </row>
    <row r="43" spans="1:7">
      <c r="A43" s="1"/>
      <c r="D43" s="98"/>
      <c r="E43" s="364"/>
      <c r="F43" s="227"/>
      <c r="G43" s="227"/>
    </row>
    <row r="44" spans="1:7">
      <c r="A44" s="1"/>
      <c r="D44" s="98"/>
      <c r="E44" s="364"/>
      <c r="F44" s="227"/>
      <c r="G44" s="227"/>
    </row>
    <row r="45" spans="1:7">
      <c r="A45" s="1"/>
      <c r="D45" s="98"/>
      <c r="E45" s="364"/>
      <c r="F45" s="227"/>
      <c r="G45" s="227"/>
    </row>
    <row r="46" spans="1:7">
      <c r="A46" s="1"/>
      <c r="D46" s="98"/>
      <c r="E46" s="364"/>
      <c r="F46" s="227"/>
      <c r="G46" s="227"/>
    </row>
    <row r="47" spans="1:7">
      <c r="A47" s="1"/>
      <c r="D47" s="98"/>
      <c r="E47" s="364"/>
      <c r="F47" s="227"/>
      <c r="G47" s="227"/>
    </row>
    <row r="48" spans="1:7">
      <c r="A48" s="1"/>
      <c r="D48" s="98"/>
      <c r="E48" s="364"/>
      <c r="F48" s="227"/>
      <c r="G48" s="227"/>
    </row>
    <row r="49" spans="1:7">
      <c r="A49" s="1"/>
      <c r="D49" s="98"/>
      <c r="E49" s="364"/>
      <c r="F49" s="227"/>
      <c r="G49" s="227"/>
    </row>
    <row r="50" spans="1:7">
      <c r="A50" s="1"/>
      <c r="D50" s="98"/>
      <c r="E50" s="364"/>
      <c r="F50" s="227"/>
      <c r="G50" s="227"/>
    </row>
    <row r="51" spans="1:7">
      <c r="A51" s="1"/>
      <c r="D51" s="98"/>
      <c r="E51" s="364"/>
      <c r="F51" s="227"/>
      <c r="G51" s="227"/>
    </row>
    <row r="52" spans="1:7">
      <c r="A52" s="1"/>
      <c r="D52" s="98"/>
      <c r="E52" s="364"/>
      <c r="F52" s="227"/>
      <c r="G52" s="227"/>
    </row>
    <row r="53" spans="1:7">
      <c r="A53" s="1"/>
      <c r="D53" s="98"/>
      <c r="E53" s="364"/>
      <c r="F53" s="227"/>
      <c r="G53" s="227"/>
    </row>
    <row r="54" spans="1:7">
      <c r="A54" s="1"/>
      <c r="D54" s="98"/>
      <c r="E54" s="364"/>
      <c r="F54" s="227"/>
      <c r="G54" s="227"/>
    </row>
    <row r="55" spans="1:7">
      <c r="A55" s="1"/>
      <c r="D55" s="98"/>
      <c r="E55" s="364"/>
      <c r="F55" s="227"/>
      <c r="G55" s="227"/>
    </row>
    <row r="56" spans="1:7">
      <c r="A56" s="1"/>
      <c r="D56" s="98"/>
      <c r="E56" s="364"/>
      <c r="F56" s="227"/>
      <c r="G56" s="227"/>
    </row>
    <row r="57" spans="1:7">
      <c r="A57" s="1"/>
      <c r="D57" s="98"/>
      <c r="E57" s="364"/>
      <c r="F57" s="227"/>
      <c r="G57" s="227"/>
    </row>
    <row r="58" spans="1:7">
      <c r="A58" s="1"/>
      <c r="D58" s="98"/>
      <c r="E58" s="364"/>
      <c r="F58" s="227"/>
      <c r="G58" s="227"/>
    </row>
    <row r="59" spans="1:7">
      <c r="A59" s="1"/>
      <c r="D59" s="98"/>
      <c r="E59" s="364"/>
      <c r="F59" s="227"/>
      <c r="G59" s="227"/>
    </row>
    <row r="60" spans="1:7">
      <c r="A60" s="1"/>
      <c r="D60" s="98"/>
      <c r="E60" s="364"/>
      <c r="F60" s="227"/>
      <c r="G60" s="227"/>
    </row>
    <row r="61" spans="1:7">
      <c r="A61" s="1"/>
      <c r="D61" s="98"/>
      <c r="E61" s="364"/>
      <c r="F61" s="227"/>
      <c r="G61" s="227"/>
    </row>
    <row r="62" spans="1:7">
      <c r="A62" s="1"/>
      <c r="D62" s="98"/>
      <c r="E62" s="364"/>
      <c r="F62" s="227"/>
      <c r="G62" s="227"/>
    </row>
    <row r="63" spans="1:7">
      <c r="A63" s="1"/>
      <c r="D63" s="98"/>
      <c r="E63" s="364"/>
      <c r="F63" s="227"/>
      <c r="G63" s="227"/>
    </row>
    <row r="64" spans="1:7">
      <c r="A64" s="1"/>
      <c r="D64" s="98"/>
      <c r="E64" s="364"/>
      <c r="F64" s="227"/>
      <c r="G64" s="227"/>
    </row>
    <row r="65" spans="1:7">
      <c r="A65" s="1"/>
      <c r="D65" s="98"/>
      <c r="E65" s="364"/>
      <c r="F65" s="227"/>
      <c r="G65" s="227"/>
    </row>
    <row r="66" spans="1:7">
      <c r="A66" s="1"/>
    </row>
    <row r="67" spans="1:7">
      <c r="A67" s="105"/>
    </row>
    <row r="68" spans="1:7">
      <c r="A68" s="105"/>
    </row>
    <row r="69" spans="1:7">
      <c r="A69" s="105"/>
    </row>
    <row r="70" spans="1:7">
      <c r="A70" s="105"/>
    </row>
    <row r="71" spans="1:7">
      <c r="A71" s="105"/>
    </row>
    <row r="72" spans="1:7">
      <c r="A72" s="105"/>
    </row>
    <row r="73" spans="1:7">
      <c r="A73" s="105"/>
    </row>
    <row r="74" spans="1:7">
      <c r="A74" s="105"/>
    </row>
    <row r="75" spans="1:7">
      <c r="A75" s="105"/>
    </row>
    <row r="76" spans="1:7">
      <c r="A76" s="105"/>
    </row>
    <row r="77" spans="1:7">
      <c r="A77" s="105"/>
    </row>
    <row r="78" spans="1:7">
      <c r="A78" s="105"/>
    </row>
    <row r="79" spans="1:7">
      <c r="A79" s="105"/>
    </row>
    <row r="80" spans="1:7">
      <c r="A80" s="105"/>
    </row>
    <row r="81" spans="1:1">
      <c r="A81" s="105"/>
    </row>
    <row r="82" spans="1:1">
      <c r="A82" s="105"/>
    </row>
    <row r="83" spans="1:1">
      <c r="A83" s="105"/>
    </row>
    <row r="84" spans="1:1">
      <c r="A84" s="105"/>
    </row>
    <row r="85" spans="1:1">
      <c r="A85" s="105"/>
    </row>
    <row r="86" spans="1:1">
      <c r="A86" s="105"/>
    </row>
    <row r="87" spans="1:1">
      <c r="A87" s="105"/>
    </row>
    <row r="88" spans="1:1">
      <c r="A88" s="105"/>
    </row>
    <row r="89" spans="1:1">
      <c r="A89" s="105"/>
    </row>
    <row r="90" spans="1:1">
      <c r="A90" s="105"/>
    </row>
    <row r="91" spans="1:1">
      <c r="A91" s="105"/>
    </row>
    <row r="92" spans="1:1">
      <c r="A92" s="105"/>
    </row>
    <row r="93" spans="1:1">
      <c r="A93" s="105"/>
    </row>
    <row r="94" spans="1:1">
      <c r="A94" s="105"/>
    </row>
    <row r="95" spans="1:1">
      <c r="A95" s="105"/>
    </row>
    <row r="96" spans="1:1">
      <c r="A96" s="105"/>
    </row>
    <row r="97" spans="1:1">
      <c r="A97" s="105"/>
    </row>
    <row r="98" spans="1:1">
      <c r="A98" s="105"/>
    </row>
    <row r="99" spans="1:1">
      <c r="A99" s="105"/>
    </row>
    <row r="100" spans="1:1">
      <c r="A100" s="105"/>
    </row>
    <row r="101" spans="1:1">
      <c r="A101" s="105"/>
    </row>
    <row r="102" spans="1:1">
      <c r="A102" s="105"/>
    </row>
    <row r="103" spans="1:1">
      <c r="A103" s="105"/>
    </row>
    <row r="104" spans="1:1">
      <c r="A104" s="105"/>
    </row>
    <row r="105" spans="1:1">
      <c r="A105" s="105"/>
    </row>
    <row r="106" spans="1:1">
      <c r="A106" s="105"/>
    </row>
    <row r="107" spans="1:1">
      <c r="A107" s="105"/>
    </row>
    <row r="108" spans="1:1">
      <c r="A108" s="105"/>
    </row>
    <row r="109" spans="1:1">
      <c r="A109" s="105"/>
    </row>
    <row r="110" spans="1:1">
      <c r="A110" s="105"/>
    </row>
    <row r="111" spans="1:1">
      <c r="A111" s="105"/>
    </row>
    <row r="112" spans="1:1">
      <c r="A112" s="105"/>
    </row>
    <row r="113" spans="1:1">
      <c r="A113" s="105"/>
    </row>
    <row r="114" spans="1:1">
      <c r="A114" s="105"/>
    </row>
    <row r="115" spans="1:1">
      <c r="A115" s="105"/>
    </row>
    <row r="116" spans="1:1">
      <c r="A116" s="105"/>
    </row>
    <row r="117" spans="1:1">
      <c r="A117" s="105"/>
    </row>
    <row r="118" spans="1:1">
      <c r="A118" s="105"/>
    </row>
    <row r="119" spans="1:1">
      <c r="A119" s="105"/>
    </row>
    <row r="120" spans="1:1">
      <c r="A120" s="105"/>
    </row>
    <row r="121" spans="1:1">
      <c r="A121" s="105"/>
    </row>
    <row r="122" spans="1:1">
      <c r="A122" s="105"/>
    </row>
    <row r="123" spans="1:1">
      <c r="A123" s="105"/>
    </row>
    <row r="124" spans="1:1">
      <c r="A124" s="105"/>
    </row>
    <row r="125" spans="1:1">
      <c r="A125" s="105"/>
    </row>
    <row r="126" spans="1:1">
      <c r="A126" s="105"/>
    </row>
    <row r="127" spans="1:1">
      <c r="A127" s="105"/>
    </row>
    <row r="128" spans="1:1">
      <c r="A128" s="105"/>
    </row>
    <row r="129" spans="1:1">
      <c r="A129" s="105"/>
    </row>
    <row r="130" spans="1:1">
      <c r="A130" s="105"/>
    </row>
    <row r="131" spans="1:1">
      <c r="A131" s="105"/>
    </row>
    <row r="132" spans="1:1">
      <c r="A132" s="105"/>
    </row>
    <row r="133" spans="1:1">
      <c r="A133" s="105"/>
    </row>
    <row r="134" spans="1:1">
      <c r="A134" s="105"/>
    </row>
    <row r="135" spans="1:1">
      <c r="A135" s="105"/>
    </row>
    <row r="136" spans="1:1">
      <c r="A136" s="105"/>
    </row>
    <row r="137" spans="1:1">
      <c r="A137" s="105"/>
    </row>
    <row r="138" spans="1:1">
      <c r="A138" s="105"/>
    </row>
    <row r="139" spans="1:1">
      <c r="A139" s="105"/>
    </row>
    <row r="140" spans="1:1">
      <c r="A140" s="105"/>
    </row>
    <row r="141" spans="1:1">
      <c r="A141" s="105"/>
    </row>
    <row r="142" spans="1:1">
      <c r="A142" s="105"/>
    </row>
    <row r="143" spans="1:1">
      <c r="A143" s="105"/>
    </row>
    <row r="144" spans="1:1">
      <c r="A144" s="105"/>
    </row>
    <row r="145" spans="1:1">
      <c r="A145" s="105"/>
    </row>
    <row r="146" spans="1:1">
      <c r="A146" s="105"/>
    </row>
    <row r="147" spans="1:1">
      <c r="A147" s="105"/>
    </row>
    <row r="148" spans="1:1">
      <c r="A148" s="105"/>
    </row>
    <row r="149" spans="1:1">
      <c r="A149" s="105"/>
    </row>
    <row r="150" spans="1:1">
      <c r="A150" s="105"/>
    </row>
    <row r="151" spans="1:1">
      <c r="A151" s="105"/>
    </row>
    <row r="152" spans="1:1">
      <c r="A152" s="105"/>
    </row>
    <row r="153" spans="1:1">
      <c r="A153" s="105"/>
    </row>
    <row r="154" spans="1:1">
      <c r="A154" s="105"/>
    </row>
    <row r="155" spans="1:1">
      <c r="A155" s="105"/>
    </row>
    <row r="156" spans="1:1">
      <c r="A156" s="105"/>
    </row>
    <row r="157" spans="1:1">
      <c r="A157" s="105"/>
    </row>
    <row r="158" spans="1:1">
      <c r="A158" s="105"/>
    </row>
    <row r="159" spans="1:1">
      <c r="A159" s="105"/>
    </row>
    <row r="160" spans="1:1">
      <c r="A160" s="105"/>
    </row>
    <row r="161" spans="1:1">
      <c r="A161" s="105"/>
    </row>
    <row r="162" spans="1:1">
      <c r="A162" s="105"/>
    </row>
    <row r="163" spans="1:1">
      <c r="A163" s="105"/>
    </row>
    <row r="164" spans="1:1">
      <c r="A164" s="105"/>
    </row>
    <row r="165" spans="1:1">
      <c r="A165" s="105"/>
    </row>
    <row r="166" spans="1:1">
      <c r="A166" s="105"/>
    </row>
    <row r="167" spans="1:1">
      <c r="A167" s="105"/>
    </row>
    <row r="168" spans="1:1">
      <c r="A168" s="105"/>
    </row>
    <row r="169" spans="1:1">
      <c r="A169" s="105"/>
    </row>
    <row r="170" spans="1:1">
      <c r="A170" s="105"/>
    </row>
    <row r="171" spans="1:1">
      <c r="A171" s="105"/>
    </row>
    <row r="172" spans="1:1">
      <c r="A172" s="105"/>
    </row>
    <row r="173" spans="1:1">
      <c r="A173" s="105"/>
    </row>
    <row r="174" spans="1:1">
      <c r="A174" s="105"/>
    </row>
    <row r="175" spans="1:1">
      <c r="A175" s="105"/>
    </row>
    <row r="176" spans="1:1">
      <c r="A176" s="105"/>
    </row>
    <row r="177" spans="1:1">
      <c r="A177" s="105"/>
    </row>
    <row r="178" spans="1:1">
      <c r="A178" s="105"/>
    </row>
    <row r="179" spans="1:1">
      <c r="A179" s="105"/>
    </row>
    <row r="180" spans="1:1">
      <c r="A180" s="105"/>
    </row>
    <row r="181" spans="1:1">
      <c r="A181" s="105"/>
    </row>
    <row r="182" spans="1:1">
      <c r="A182" s="105"/>
    </row>
    <row r="183" spans="1:1">
      <c r="A183" s="105"/>
    </row>
    <row r="184" spans="1:1">
      <c r="A184" s="105"/>
    </row>
    <row r="185" spans="1:1">
      <c r="A185" s="105"/>
    </row>
    <row r="186" spans="1:1">
      <c r="A186" s="105"/>
    </row>
    <row r="187" spans="1:1">
      <c r="A187" s="105"/>
    </row>
    <row r="188" spans="1:1">
      <c r="A188" s="105"/>
    </row>
    <row r="189" spans="1:1">
      <c r="A189" s="105"/>
    </row>
    <row r="190" spans="1:1">
      <c r="A190" s="105"/>
    </row>
    <row r="191" spans="1:1">
      <c r="A191" s="105"/>
    </row>
    <row r="192" spans="1:1">
      <c r="A192" s="105"/>
    </row>
    <row r="193" spans="1:1">
      <c r="A193" s="105"/>
    </row>
    <row r="194" spans="1:1">
      <c r="A194" s="105"/>
    </row>
    <row r="195" spans="1:1">
      <c r="A195" s="105"/>
    </row>
    <row r="196" spans="1:1">
      <c r="A196" s="105"/>
    </row>
    <row r="197" spans="1:1">
      <c r="A197" s="105"/>
    </row>
    <row r="198" spans="1:1">
      <c r="A198" s="105"/>
    </row>
    <row r="199" spans="1:1">
      <c r="A199" s="105"/>
    </row>
    <row r="200" spans="1:1">
      <c r="A200" s="105"/>
    </row>
    <row r="201" spans="1:1">
      <c r="A201" s="105"/>
    </row>
    <row r="202" spans="1:1">
      <c r="A202" s="105"/>
    </row>
    <row r="203" spans="1:1">
      <c r="A203" s="105"/>
    </row>
    <row r="204" spans="1:1">
      <c r="A204" s="105"/>
    </row>
    <row r="205" spans="1:1">
      <c r="A205" s="105"/>
    </row>
    <row r="206" spans="1:1">
      <c r="A206" s="105"/>
    </row>
    <row r="207" spans="1:1">
      <c r="A207" s="105"/>
    </row>
    <row r="208" spans="1:1">
      <c r="A208" s="105"/>
    </row>
    <row r="209" spans="1:1">
      <c r="A209" s="105"/>
    </row>
    <row r="210" spans="1:1">
      <c r="A210" s="105"/>
    </row>
    <row r="211" spans="1:1">
      <c r="A211" s="105"/>
    </row>
    <row r="212" spans="1:1">
      <c r="A212" s="105"/>
    </row>
    <row r="213" spans="1:1">
      <c r="A213" s="105"/>
    </row>
    <row r="214" spans="1:1">
      <c r="A214" s="105"/>
    </row>
    <row r="215" spans="1:1">
      <c r="A215" s="105"/>
    </row>
    <row r="216" spans="1:1">
      <c r="A216" s="105"/>
    </row>
    <row r="217" spans="1:1">
      <c r="A217" s="105"/>
    </row>
    <row r="218" spans="1:1">
      <c r="A218" s="105"/>
    </row>
    <row r="219" spans="1:1">
      <c r="A219" s="105"/>
    </row>
    <row r="220" spans="1:1">
      <c r="A220" s="105"/>
    </row>
    <row r="221" spans="1:1">
      <c r="A221" s="105"/>
    </row>
    <row r="222" spans="1:1">
      <c r="A222" s="105"/>
    </row>
    <row r="223" spans="1:1">
      <c r="A223" s="105"/>
    </row>
    <row r="224" spans="1:1">
      <c r="A224" s="105"/>
    </row>
    <row r="225" spans="1:1">
      <c r="A225" s="105"/>
    </row>
    <row r="226" spans="1:1">
      <c r="A226" s="105"/>
    </row>
    <row r="227" spans="1:1">
      <c r="A227" s="105"/>
    </row>
    <row r="228" spans="1:1">
      <c r="A228" s="105"/>
    </row>
    <row r="229" spans="1:1">
      <c r="A229" s="105"/>
    </row>
    <row r="230" spans="1:1">
      <c r="A230" s="105"/>
    </row>
    <row r="231" spans="1:1">
      <c r="A231" s="105"/>
    </row>
    <row r="232" spans="1:1">
      <c r="A232" s="105"/>
    </row>
    <row r="233" spans="1:1">
      <c r="A233" s="105"/>
    </row>
  </sheetData>
  <sortState ref="A8:I24">
    <sortCondition ref="A8"/>
  </sortState>
  <mergeCells count="4">
    <mergeCell ref="A2:G2"/>
    <mergeCell ref="A29:B29"/>
    <mergeCell ref="D29:E29"/>
    <mergeCell ref="F29:G29"/>
  </mergeCells>
  <printOptions horizontalCentered="1"/>
  <pageMargins left="0.59055118110236227" right="0.59055118110236227" top="0.98425196850393704" bottom="0.59055118110236227" header="0" footer="0"/>
  <pageSetup paperSize="9" scale="88" fitToHeight="0" orientation="landscape" blackAndWhite="1" r:id="rId1"/>
  <rowBreaks count="1" manualBreakCount="1">
    <brk id="16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55"/>
  <sheetViews>
    <sheetView tabSelected="1" topLeftCell="A91" zoomScale="50" zoomScaleNormal="50" zoomScaleSheetLayoutView="50" workbookViewId="0">
      <selection activeCell="E106" sqref="E106"/>
    </sheetView>
  </sheetViews>
  <sheetFormatPr defaultColWidth="9.109375" defaultRowHeight="18"/>
  <cols>
    <col min="1" max="1" width="95" style="305" customWidth="1"/>
    <col min="2" max="2" width="17.109375" style="306" customWidth="1"/>
    <col min="3" max="6" width="30.6640625" style="306" customWidth="1"/>
    <col min="7" max="7" width="25.6640625" style="306" customWidth="1"/>
    <col min="8" max="8" width="21.6640625" style="306" customWidth="1"/>
    <col min="9" max="9" width="10" style="305" customWidth="1"/>
    <col min="10" max="10" width="9.5546875" style="305" customWidth="1"/>
    <col min="11" max="16384" width="9.109375" style="305"/>
  </cols>
  <sheetData>
    <row r="1" spans="1:8" ht="29.25" customHeight="1">
      <c r="A1" s="101"/>
      <c r="B1" s="407"/>
      <c r="C1" s="407"/>
      <c r="D1" s="407"/>
      <c r="E1" s="407"/>
      <c r="G1" s="127">
        <v>2023</v>
      </c>
      <c r="H1" s="128" t="s">
        <v>98</v>
      </c>
    </row>
    <row r="2" spans="1:8" ht="29.25" customHeight="1">
      <c r="A2" s="101" t="s">
        <v>14</v>
      </c>
      <c r="B2" s="407" t="s">
        <v>607</v>
      </c>
      <c r="C2" s="407"/>
      <c r="D2" s="407"/>
      <c r="E2" s="407"/>
      <c r="F2" s="407"/>
      <c r="G2" s="127"/>
      <c r="H2" s="128" t="s">
        <v>95</v>
      </c>
    </row>
    <row r="3" spans="1:8" ht="29.25" customHeight="1">
      <c r="A3" s="101" t="s">
        <v>15</v>
      </c>
      <c r="B3" s="407" t="s">
        <v>608</v>
      </c>
      <c r="C3" s="407"/>
      <c r="D3" s="407"/>
      <c r="E3" s="407"/>
      <c r="F3" s="407"/>
      <c r="G3" s="127"/>
      <c r="H3" s="128" t="s">
        <v>94</v>
      </c>
    </row>
    <row r="4" spans="1:8" ht="29.25" customHeight="1">
      <c r="A4" s="101" t="s">
        <v>20</v>
      </c>
      <c r="B4" s="407" t="s">
        <v>609</v>
      </c>
      <c r="C4" s="407"/>
      <c r="D4" s="407"/>
      <c r="E4" s="407"/>
      <c r="F4" s="407"/>
      <c r="G4" s="127"/>
      <c r="H4" s="128" t="s">
        <v>93</v>
      </c>
    </row>
    <row r="5" spans="1:8" ht="29.25" customHeight="1">
      <c r="A5" s="101" t="s">
        <v>401</v>
      </c>
      <c r="B5" s="407" t="s">
        <v>610</v>
      </c>
      <c r="C5" s="407"/>
      <c r="D5" s="407"/>
      <c r="E5" s="407"/>
      <c r="F5" s="407"/>
      <c r="G5" s="127"/>
      <c r="H5" s="128" t="s">
        <v>9</v>
      </c>
    </row>
    <row r="6" spans="1:8" ht="29.25" customHeight="1">
      <c r="A6" s="101" t="s">
        <v>17</v>
      </c>
      <c r="B6" s="407" t="s">
        <v>611</v>
      </c>
      <c r="C6" s="407"/>
      <c r="D6" s="407"/>
      <c r="E6" s="407"/>
      <c r="F6" s="407"/>
      <c r="G6" s="127"/>
      <c r="H6" s="128" t="s">
        <v>8</v>
      </c>
    </row>
    <row r="7" spans="1:8" ht="29.25" customHeight="1">
      <c r="A7" s="101" t="s">
        <v>16</v>
      </c>
      <c r="B7" s="407" t="s">
        <v>611</v>
      </c>
      <c r="C7" s="407"/>
      <c r="D7" s="407"/>
      <c r="E7" s="107"/>
      <c r="F7" s="107"/>
      <c r="G7" s="129"/>
      <c r="H7" s="128" t="s">
        <v>10</v>
      </c>
    </row>
    <row r="8" spans="1:8" ht="29.25" customHeight="1">
      <c r="A8" s="101" t="s">
        <v>404</v>
      </c>
      <c r="B8" s="107" t="s">
        <v>423</v>
      </c>
      <c r="C8" s="107"/>
      <c r="D8" s="107"/>
      <c r="E8" s="107"/>
      <c r="F8" s="107"/>
      <c r="G8" s="130"/>
      <c r="H8" s="131"/>
    </row>
    <row r="9" spans="1:8" ht="29.25" customHeight="1">
      <c r="A9" s="101" t="s">
        <v>21</v>
      </c>
      <c r="B9" s="407" t="s">
        <v>612</v>
      </c>
      <c r="C9" s="407"/>
      <c r="D9" s="107"/>
      <c r="E9" s="107"/>
      <c r="F9" s="107"/>
      <c r="G9" s="132"/>
      <c r="H9" s="127"/>
    </row>
    <row r="10" spans="1:8" ht="29.25" customHeight="1">
      <c r="A10" s="101" t="s">
        <v>81</v>
      </c>
      <c r="B10" s="407">
        <v>1407</v>
      </c>
      <c r="C10" s="407"/>
      <c r="D10" s="407"/>
      <c r="E10" s="407"/>
      <c r="F10" s="126"/>
      <c r="G10" s="133"/>
      <c r="H10" s="128"/>
    </row>
    <row r="11" spans="1:8" ht="29.25" customHeight="1">
      <c r="A11" s="101" t="s">
        <v>11</v>
      </c>
      <c r="B11" s="407" t="s">
        <v>613</v>
      </c>
      <c r="C11" s="407"/>
      <c r="D11" s="407"/>
      <c r="E11" s="407"/>
      <c r="F11" s="407"/>
      <c r="G11" s="133"/>
      <c r="H11" s="128"/>
    </row>
    <row r="12" spans="1:8" ht="29.25" customHeight="1">
      <c r="A12" s="101" t="s">
        <v>12</v>
      </c>
      <c r="B12" s="407" t="s">
        <v>614</v>
      </c>
      <c r="C12" s="407"/>
      <c r="D12" s="407"/>
      <c r="E12" s="407"/>
      <c r="F12" s="407"/>
      <c r="G12" s="133"/>
      <c r="H12" s="128"/>
    </row>
    <row r="13" spans="1:8" ht="29.25" customHeight="1">
      <c r="A13" s="101" t="s">
        <v>13</v>
      </c>
      <c r="B13" s="407" t="s">
        <v>524</v>
      </c>
      <c r="C13" s="407"/>
      <c r="D13" s="407"/>
      <c r="E13" s="407"/>
      <c r="F13" s="407"/>
      <c r="G13" s="133"/>
      <c r="H13" s="128"/>
    </row>
    <row r="14" spans="1:8" ht="19.5" customHeight="1">
      <c r="A14" s="97"/>
      <c r="B14" s="305"/>
      <c r="C14" s="305"/>
      <c r="D14" s="305"/>
      <c r="E14" s="305"/>
      <c r="F14" s="305"/>
      <c r="G14" s="305"/>
      <c r="H14" s="305"/>
    </row>
    <row r="15" spans="1:8" ht="30.75" customHeight="1">
      <c r="A15" s="388" t="s">
        <v>135</v>
      </c>
      <c r="B15" s="388"/>
      <c r="C15" s="388"/>
      <c r="D15" s="388"/>
      <c r="E15" s="388"/>
      <c r="F15" s="388"/>
      <c r="G15" s="388"/>
      <c r="H15" s="388"/>
    </row>
    <row r="16" spans="1:8" ht="38.25" customHeight="1">
      <c r="A16" s="388" t="s">
        <v>615</v>
      </c>
      <c r="B16" s="388"/>
      <c r="C16" s="388"/>
      <c r="D16" s="388"/>
      <c r="E16" s="388"/>
      <c r="F16" s="388"/>
      <c r="G16" s="388"/>
      <c r="H16" s="388"/>
    </row>
    <row r="17" spans="1:8" ht="20.399999999999999">
      <c r="A17" s="388" t="s">
        <v>694</v>
      </c>
      <c r="B17" s="388"/>
      <c r="C17" s="388"/>
      <c r="D17" s="388"/>
      <c r="E17" s="388"/>
      <c r="F17" s="388"/>
      <c r="G17" s="388"/>
      <c r="H17" s="388"/>
    </row>
    <row r="18" spans="1:8" ht="23.25" customHeight="1">
      <c r="A18" s="392"/>
      <c r="B18" s="392"/>
      <c r="C18" s="392"/>
      <c r="D18" s="392"/>
      <c r="E18" s="392"/>
      <c r="F18" s="392"/>
      <c r="G18" s="392"/>
      <c r="H18" s="392"/>
    </row>
    <row r="19" spans="1:8" ht="31.5" customHeight="1">
      <c r="A19" s="393" t="s">
        <v>121</v>
      </c>
      <c r="B19" s="393"/>
      <c r="C19" s="393"/>
      <c r="D19" s="393"/>
      <c r="E19" s="393"/>
      <c r="F19" s="393"/>
      <c r="G19" s="393"/>
      <c r="H19" s="393"/>
    </row>
    <row r="20" spans="1:8" ht="29.25" customHeight="1">
      <c r="B20" s="97"/>
      <c r="C20" s="97"/>
      <c r="D20" s="97"/>
      <c r="E20" s="97"/>
      <c r="F20" s="97"/>
      <c r="G20" s="97"/>
      <c r="H20" s="306" t="s">
        <v>347</v>
      </c>
    </row>
    <row r="21" spans="1:8" ht="43.5" customHeight="1">
      <c r="A21" s="391" t="s">
        <v>152</v>
      </c>
      <c r="B21" s="389" t="s">
        <v>18</v>
      </c>
      <c r="C21" s="389" t="s">
        <v>134</v>
      </c>
      <c r="D21" s="389"/>
      <c r="E21" s="390" t="s">
        <v>695</v>
      </c>
      <c r="F21" s="390"/>
      <c r="G21" s="390"/>
      <c r="H21" s="390"/>
    </row>
    <row r="22" spans="1:8" ht="51" customHeight="1">
      <c r="A22" s="391"/>
      <c r="B22" s="389"/>
      <c r="C22" s="284" t="s">
        <v>702</v>
      </c>
      <c r="D22" s="284" t="s">
        <v>696</v>
      </c>
      <c r="E22" s="96" t="s">
        <v>143</v>
      </c>
      <c r="F22" s="96" t="s">
        <v>139</v>
      </c>
      <c r="G22" s="96" t="s">
        <v>149</v>
      </c>
      <c r="H22" s="96" t="s">
        <v>150</v>
      </c>
    </row>
    <row r="23" spans="1:8" ht="28.5" customHeight="1" thickBot="1">
      <c r="A23" s="283">
        <v>1</v>
      </c>
      <c r="B23" s="284">
        <v>2</v>
      </c>
      <c r="C23" s="283">
        <v>3</v>
      </c>
      <c r="D23" s="284">
        <v>4</v>
      </c>
      <c r="E23" s="283">
        <v>5</v>
      </c>
      <c r="F23" s="284">
        <v>6</v>
      </c>
      <c r="G23" s="283">
        <v>7</v>
      </c>
      <c r="H23" s="284">
        <v>8</v>
      </c>
    </row>
    <row r="24" spans="1:8" s="20" customFormat="1" ht="33" customHeight="1" thickBot="1">
      <c r="A24" s="382" t="s">
        <v>75</v>
      </c>
      <c r="B24" s="383"/>
      <c r="C24" s="383"/>
      <c r="D24" s="383"/>
      <c r="E24" s="383"/>
      <c r="F24" s="383"/>
      <c r="G24" s="383"/>
      <c r="H24" s="384"/>
    </row>
    <row r="25" spans="1:8" s="20" customFormat="1" ht="30.75" customHeight="1">
      <c r="A25" s="102" t="s">
        <v>122</v>
      </c>
      <c r="B25" s="103">
        <v>1000</v>
      </c>
      <c r="C25" s="196">
        <f>'I. Фін результат'!C8</f>
        <v>117666</v>
      </c>
      <c r="D25" s="196">
        <f>'I. Фін результат'!D8</f>
        <v>390377</v>
      </c>
      <c r="E25" s="196">
        <f>'I. Фін результат'!E8</f>
        <v>370210</v>
      </c>
      <c r="F25" s="196">
        <f>'I. Фін результат'!F8</f>
        <v>390377</v>
      </c>
      <c r="G25" s="196">
        <f t="shared" ref="G25:G35" si="0">IF(F25="(    )",0,F25)-IF(E25="(    )",0,E25)</f>
        <v>20167</v>
      </c>
      <c r="H25" s="151">
        <f t="shared" ref="H25:H35" si="1">IF(IF(E25="(    )",0,E25)=0,0,IF(F25="(    )",0,F25)/IF(E25="(    )",0,E25))*100</f>
        <v>105.44744874530672</v>
      </c>
    </row>
    <row r="26" spans="1:8" s="20" customFormat="1" ht="30.75" customHeight="1">
      <c r="A26" s="102" t="s">
        <v>110</v>
      </c>
      <c r="B26" s="103">
        <v>1010</v>
      </c>
      <c r="C26" s="196">
        <f>'I. Фін результат'!C9</f>
        <v>-634675</v>
      </c>
      <c r="D26" s="196">
        <f>'I. Фін результат'!D9</f>
        <v>-777297</v>
      </c>
      <c r="E26" s="196">
        <f>'I. Фін результат'!E9</f>
        <v>-1159020</v>
      </c>
      <c r="F26" s="196">
        <f>'I. Фін результат'!F9</f>
        <v>-777297</v>
      </c>
      <c r="G26" s="196">
        <f t="shared" si="0"/>
        <v>381723</v>
      </c>
      <c r="H26" s="151">
        <f t="shared" si="1"/>
        <v>67.065020448309781</v>
      </c>
    </row>
    <row r="27" spans="1:8" s="20" customFormat="1" ht="29.25" customHeight="1">
      <c r="A27" s="72" t="s">
        <v>144</v>
      </c>
      <c r="B27" s="73">
        <v>1020</v>
      </c>
      <c r="C27" s="192">
        <f>SUM(C25:C26)</f>
        <v>-517009</v>
      </c>
      <c r="D27" s="192">
        <f t="shared" ref="D27:F27" si="2">SUM(D25:D26)</f>
        <v>-386920</v>
      </c>
      <c r="E27" s="192">
        <f t="shared" si="2"/>
        <v>-788810</v>
      </c>
      <c r="F27" s="192">
        <f t="shared" si="2"/>
        <v>-386920</v>
      </c>
      <c r="G27" s="302">
        <f t="shared" si="0"/>
        <v>401890</v>
      </c>
      <c r="H27" s="152">
        <f t="shared" si="1"/>
        <v>49.051102293327922</v>
      </c>
    </row>
    <row r="28" spans="1:8" s="20" customFormat="1" ht="30.75" customHeight="1">
      <c r="A28" s="102" t="s">
        <v>348</v>
      </c>
      <c r="B28" s="103">
        <v>1030</v>
      </c>
      <c r="C28" s="196">
        <f>'I. Фін результат'!C19</f>
        <v>-37571</v>
      </c>
      <c r="D28" s="196">
        <f>'I. Фін результат'!D19</f>
        <v>-47635</v>
      </c>
      <c r="E28" s="196">
        <f>'I. Фін результат'!E19</f>
        <v>-46292</v>
      </c>
      <c r="F28" s="196">
        <f>'I. Фін результат'!F19</f>
        <v>-47635</v>
      </c>
      <c r="G28" s="196">
        <f t="shared" si="0"/>
        <v>-1343</v>
      </c>
      <c r="H28" s="151">
        <f t="shared" si="1"/>
        <v>102.90114922664824</v>
      </c>
    </row>
    <row r="29" spans="1:8" s="20" customFormat="1" ht="30.75" customHeight="1">
      <c r="A29" s="102" t="s">
        <v>99</v>
      </c>
      <c r="B29" s="103">
        <v>1060</v>
      </c>
      <c r="C29" s="196">
        <f>'I. Фін результат'!C40</f>
        <v>-23688</v>
      </c>
      <c r="D29" s="196">
        <f>'I. Фін результат'!D40</f>
        <v>-61856</v>
      </c>
      <c r="E29" s="196">
        <f>'I. Фін результат'!E40</f>
        <v>-52266</v>
      </c>
      <c r="F29" s="196">
        <f>'I. Фін результат'!F40</f>
        <v>-61856</v>
      </c>
      <c r="G29" s="196">
        <f t="shared" si="0"/>
        <v>-9590</v>
      </c>
      <c r="H29" s="151">
        <f t="shared" si="1"/>
        <v>118.34844832204492</v>
      </c>
    </row>
    <row r="30" spans="1:8" s="20" customFormat="1" ht="30.75" customHeight="1">
      <c r="A30" s="102" t="s">
        <v>349</v>
      </c>
      <c r="B30" s="103">
        <v>1070</v>
      </c>
      <c r="C30" s="196">
        <f>'I. Фін результат'!C48</f>
        <v>575539</v>
      </c>
      <c r="D30" s="196">
        <f>'I. Фін результат'!D48</f>
        <v>465250</v>
      </c>
      <c r="E30" s="196">
        <f>'I. Фін результат'!E48</f>
        <v>891145</v>
      </c>
      <c r="F30" s="196">
        <f>'I. Фін результат'!F48</f>
        <v>465250</v>
      </c>
      <c r="G30" s="196">
        <f t="shared" si="0"/>
        <v>-425895</v>
      </c>
      <c r="H30" s="151">
        <f t="shared" si="1"/>
        <v>52.208114279943217</v>
      </c>
    </row>
    <row r="31" spans="1:8" s="20" customFormat="1" ht="30.75" customHeight="1">
      <c r="A31" s="102" t="s">
        <v>27</v>
      </c>
      <c r="B31" s="103">
        <v>1080</v>
      </c>
      <c r="C31" s="196">
        <f>'I. Фін результат'!C52</f>
        <v>-8396</v>
      </c>
      <c r="D31" s="196">
        <f>'I. Фін результат'!D52</f>
        <v>-9914</v>
      </c>
      <c r="E31" s="196">
        <f>'I. Фін результат'!E52</f>
        <v>-10706</v>
      </c>
      <c r="F31" s="196">
        <f>'I. Фін результат'!F52</f>
        <v>-9914</v>
      </c>
      <c r="G31" s="196">
        <f t="shared" si="0"/>
        <v>792</v>
      </c>
      <c r="H31" s="151">
        <f t="shared" si="1"/>
        <v>92.60227909583412</v>
      </c>
    </row>
    <row r="32" spans="1:8" s="20" customFormat="1" ht="29.25" customHeight="1">
      <c r="A32" s="72" t="s">
        <v>4</v>
      </c>
      <c r="B32" s="73">
        <v>1100</v>
      </c>
      <c r="C32" s="192">
        <f>SUM(C27:C31)</f>
        <v>-11125</v>
      </c>
      <c r="D32" s="192">
        <f t="shared" ref="D32:F32" si="3">SUM(D27:D31)</f>
        <v>-41075</v>
      </c>
      <c r="E32" s="192">
        <f t="shared" si="3"/>
        <v>-6929</v>
      </c>
      <c r="F32" s="192">
        <f t="shared" si="3"/>
        <v>-41075</v>
      </c>
      <c r="G32" s="302">
        <f t="shared" si="0"/>
        <v>-34146</v>
      </c>
      <c r="H32" s="152">
        <f t="shared" si="1"/>
        <v>592.79838360513781</v>
      </c>
    </row>
    <row r="33" spans="1:8" s="20" customFormat="1" ht="26.25" customHeight="1">
      <c r="A33" s="75" t="s">
        <v>100</v>
      </c>
      <c r="B33" s="73">
        <v>1310</v>
      </c>
      <c r="C33" s="192">
        <f>'I. Фін результат'!C88</f>
        <v>29292</v>
      </c>
      <c r="D33" s="192">
        <f>'I. Фін результат'!D88</f>
        <v>8289</v>
      </c>
      <c r="E33" s="192">
        <f>'I. Фін результат'!E88</f>
        <v>39300</v>
      </c>
      <c r="F33" s="192">
        <f>'I. Фін результат'!F88</f>
        <v>8289</v>
      </c>
      <c r="G33" s="302">
        <f t="shared" si="0"/>
        <v>-31011</v>
      </c>
      <c r="H33" s="152">
        <f t="shared" si="1"/>
        <v>21.091603053435115</v>
      </c>
    </row>
    <row r="34" spans="1:8" s="20" customFormat="1" ht="29.25" customHeight="1">
      <c r="A34" s="72" t="s">
        <v>131</v>
      </c>
      <c r="B34" s="73">
        <v>5010</v>
      </c>
      <c r="C34" s="192">
        <f>IF(C25=0,0,C33/C25*100)</f>
        <v>24.894192035082352</v>
      </c>
      <c r="D34" s="192">
        <f t="shared" ref="D34:F34" si="4">IF(D25=0,0,D33/D25*100)</f>
        <v>2.123332061058925</v>
      </c>
      <c r="E34" s="324">
        <f t="shared" si="4"/>
        <v>10.615596553307583</v>
      </c>
      <c r="F34" s="192">
        <f t="shared" si="4"/>
        <v>2.123332061058925</v>
      </c>
      <c r="G34" s="302">
        <f t="shared" si="0"/>
        <v>-8.4922644922486583</v>
      </c>
      <c r="H34" s="152">
        <f t="shared" si="1"/>
        <v>20.002004130397573</v>
      </c>
    </row>
    <row r="35" spans="1:8" s="20" customFormat="1" ht="30.75" customHeight="1">
      <c r="A35" s="102" t="s">
        <v>186</v>
      </c>
      <c r="B35" s="103">
        <v>1110</v>
      </c>
      <c r="C35" s="196">
        <f>'I. Фін результат'!C60</f>
        <v>0</v>
      </c>
      <c r="D35" s="196">
        <f>'I. Фін результат'!D60</f>
        <v>0</v>
      </c>
      <c r="E35" s="196">
        <f>'I. Фін результат'!E60</f>
        <v>0</v>
      </c>
      <c r="F35" s="196">
        <f>'I. Фін результат'!F60</f>
        <v>0</v>
      </c>
      <c r="G35" s="196">
        <f t="shared" si="0"/>
        <v>0</v>
      </c>
      <c r="H35" s="151">
        <f t="shared" si="1"/>
        <v>0</v>
      </c>
    </row>
    <row r="36" spans="1:8" s="20" customFormat="1" ht="30.75" customHeight="1">
      <c r="A36" s="102" t="s">
        <v>187</v>
      </c>
      <c r="B36" s="103">
        <v>1120</v>
      </c>
      <c r="C36" s="196" t="str">
        <f>'I. Фін результат'!C61</f>
        <v>(    )</v>
      </c>
      <c r="D36" s="196" t="str">
        <f>'I. Фін результат'!D61</f>
        <v>(    )</v>
      </c>
      <c r="E36" s="196" t="str">
        <f>'I. Фін результат'!E61</f>
        <v>(    )</v>
      </c>
      <c r="F36" s="196" t="str">
        <f>'I. Фін результат'!F61</f>
        <v>(    )</v>
      </c>
      <c r="G36" s="193">
        <f t="shared" ref="G36" si="5">IF(F36="(    )",0,F36)-IF(E36="(    )",0,E36)</f>
        <v>0</v>
      </c>
      <c r="H36" s="153">
        <f>IF(IF(E36="(    )",0,E36)=0,0,IF(F36="(    )",0,F36)/IF(E36="(    )",0,E36))*100</f>
        <v>0</v>
      </c>
    </row>
    <row r="37" spans="1:8" s="20" customFormat="1" ht="30.75" customHeight="1">
      <c r="A37" s="102" t="s">
        <v>188</v>
      </c>
      <c r="B37" s="103">
        <v>1130</v>
      </c>
      <c r="C37" s="196">
        <f>'I. Фін результат'!C62</f>
        <v>2585</v>
      </c>
      <c r="D37" s="196">
        <f>'I. Фін результат'!D62</f>
        <v>7671</v>
      </c>
      <c r="E37" s="196">
        <f>'I. Фін результат'!E62</f>
        <v>1500</v>
      </c>
      <c r="F37" s="196">
        <f>'I. Фін результат'!F62</f>
        <v>7671</v>
      </c>
      <c r="G37" s="196">
        <f t="shared" ref="G37:G58" si="6">IF(F37="(    )",0,F37)-IF(E37="(    )",0,E37)</f>
        <v>6171</v>
      </c>
      <c r="H37" s="151">
        <f t="shared" ref="H37:H58" si="7">IF(IF(E37="(    )",0,E37)=0,0,IF(F37="(    )",0,F37)/IF(E37="(    )",0,E37))*100</f>
        <v>511.4</v>
      </c>
    </row>
    <row r="38" spans="1:8" s="20" customFormat="1" ht="30.75" customHeight="1">
      <c r="A38" s="102" t="s">
        <v>189</v>
      </c>
      <c r="B38" s="103">
        <v>1140</v>
      </c>
      <c r="C38" s="196">
        <f>'I. Фін результат'!C63</f>
        <v>-7110</v>
      </c>
      <c r="D38" s="196">
        <f>'I. Фін результат'!D63</f>
        <v>-227</v>
      </c>
      <c r="E38" s="196">
        <f>'I. Фін результат'!E63</f>
        <v>-117</v>
      </c>
      <c r="F38" s="196">
        <f>'I. Фін результат'!F63</f>
        <v>-227</v>
      </c>
      <c r="G38" s="302">
        <f t="shared" si="6"/>
        <v>-110</v>
      </c>
      <c r="H38" s="151">
        <f t="shared" si="7"/>
        <v>194.01709401709402</v>
      </c>
    </row>
    <row r="39" spans="1:8" s="20" customFormat="1" ht="30.75" customHeight="1">
      <c r="A39" s="102" t="s">
        <v>350</v>
      </c>
      <c r="B39" s="103">
        <v>1150</v>
      </c>
      <c r="C39" s="196">
        <f>'I. Фін результат'!C64</f>
        <v>5717</v>
      </c>
      <c r="D39" s="196">
        <f>'I. Фін результат'!D64</f>
        <v>7250</v>
      </c>
      <c r="E39" s="196">
        <f>'I. Фін результат'!E64</f>
        <v>5576</v>
      </c>
      <c r="F39" s="196">
        <f>'I. Фін результат'!F64</f>
        <v>7250</v>
      </c>
      <c r="G39" s="301">
        <f t="shared" si="6"/>
        <v>1674</v>
      </c>
      <c r="H39" s="151">
        <f t="shared" si="7"/>
        <v>130.02152080344334</v>
      </c>
    </row>
    <row r="40" spans="1:8" s="20" customFormat="1" ht="30.75" customHeight="1">
      <c r="A40" s="102" t="s">
        <v>351</v>
      </c>
      <c r="B40" s="103">
        <v>1160</v>
      </c>
      <c r="C40" s="196">
        <f>'I. Фін результат'!C67</f>
        <v>-4260</v>
      </c>
      <c r="D40" s="196">
        <f>'I. Фін результат'!D67</f>
        <v>-56</v>
      </c>
      <c r="E40" s="196">
        <f>'I. Фін результат'!E67</f>
        <v>-30</v>
      </c>
      <c r="F40" s="196">
        <f>'I. Фін результат'!F67</f>
        <v>-56</v>
      </c>
      <c r="G40" s="301">
        <f t="shared" si="6"/>
        <v>-26</v>
      </c>
      <c r="H40" s="151">
        <f t="shared" si="7"/>
        <v>186.66666666666666</v>
      </c>
    </row>
    <row r="41" spans="1:8" s="20" customFormat="1" ht="29.25" customHeight="1">
      <c r="A41" s="72" t="s">
        <v>74</v>
      </c>
      <c r="B41" s="73">
        <v>1170</v>
      </c>
      <c r="C41" s="192">
        <f>SUM(C32,C35:C40)</f>
        <v>-14193</v>
      </c>
      <c r="D41" s="192">
        <f t="shared" ref="D41:F41" si="8">SUM(D32,D35:D40)</f>
        <v>-26437</v>
      </c>
      <c r="E41" s="192">
        <f>SUM(E32,E35:E40)</f>
        <v>0</v>
      </c>
      <c r="F41" s="192">
        <f t="shared" si="8"/>
        <v>-26437</v>
      </c>
      <c r="G41" s="302">
        <f t="shared" si="6"/>
        <v>-26437</v>
      </c>
      <c r="H41" s="152">
        <f t="shared" si="7"/>
        <v>0</v>
      </c>
    </row>
    <row r="42" spans="1:8" s="20" customFormat="1" ht="30.75" customHeight="1">
      <c r="A42" s="102" t="s">
        <v>196</v>
      </c>
      <c r="B42" s="103">
        <v>1180</v>
      </c>
      <c r="C42" s="196" t="str">
        <f>'I. Фін результат'!C71</f>
        <v>(    )</v>
      </c>
      <c r="D42" s="196" t="str">
        <f>'I. Фін результат'!D71</f>
        <v>(    )</v>
      </c>
      <c r="E42" s="196" t="str">
        <f>'I. Фін результат'!E71</f>
        <v>(    )</v>
      </c>
      <c r="F42" s="196" t="str">
        <f>'I. Фін результат'!F71</f>
        <v>(    )</v>
      </c>
      <c r="G42" s="301">
        <f t="shared" si="6"/>
        <v>0</v>
      </c>
      <c r="H42" s="151">
        <f t="shared" si="7"/>
        <v>0</v>
      </c>
    </row>
    <row r="43" spans="1:8" s="20" customFormat="1" ht="30.75" customHeight="1">
      <c r="A43" s="102" t="s">
        <v>197</v>
      </c>
      <c r="B43" s="103">
        <v>1181</v>
      </c>
      <c r="C43" s="196">
        <f>'I. Фін результат'!C72</f>
        <v>0</v>
      </c>
      <c r="D43" s="196">
        <f>'I. Фін результат'!D72</f>
        <v>0</v>
      </c>
      <c r="E43" s="196">
        <f>'I. Фін результат'!E72</f>
        <v>0</v>
      </c>
      <c r="F43" s="196">
        <f>'I. Фін результат'!F72</f>
        <v>0</v>
      </c>
      <c r="G43" s="196">
        <f t="shared" si="6"/>
        <v>0</v>
      </c>
      <c r="H43" s="151">
        <f t="shared" si="7"/>
        <v>0</v>
      </c>
    </row>
    <row r="44" spans="1:8" s="20" customFormat="1" ht="30.75" customHeight="1">
      <c r="A44" s="102" t="s">
        <v>198</v>
      </c>
      <c r="B44" s="103">
        <v>1190</v>
      </c>
      <c r="C44" s="196">
        <f>'I. Фін результат'!C73</f>
        <v>0</v>
      </c>
      <c r="D44" s="196">
        <f>'I. Фін результат'!D73</f>
        <v>0</v>
      </c>
      <c r="E44" s="196">
        <f>'I. Фін результат'!E73</f>
        <v>0</v>
      </c>
      <c r="F44" s="196">
        <f>'I. Фін результат'!F73</f>
        <v>0</v>
      </c>
      <c r="G44" s="196">
        <f t="shared" si="6"/>
        <v>0</v>
      </c>
      <c r="H44" s="151">
        <f t="shared" si="7"/>
        <v>0</v>
      </c>
    </row>
    <row r="45" spans="1:8" s="20" customFormat="1" ht="30.75" customHeight="1">
      <c r="A45" s="102" t="s">
        <v>199</v>
      </c>
      <c r="B45" s="103">
        <v>1191</v>
      </c>
      <c r="C45" s="196" t="str">
        <f>'I. Фін результат'!C74</f>
        <v>(    )</v>
      </c>
      <c r="D45" s="196" t="str">
        <f>'I. Фін результат'!D74</f>
        <v>(    )</v>
      </c>
      <c r="E45" s="196" t="str">
        <f>'I. Фін результат'!E74</f>
        <v>(    )</v>
      </c>
      <c r="F45" s="196" t="str">
        <f>'I. Фін результат'!F74</f>
        <v>(    )</v>
      </c>
      <c r="G45" s="196">
        <f t="shared" si="6"/>
        <v>0</v>
      </c>
      <c r="H45" s="151">
        <f t="shared" si="7"/>
        <v>0</v>
      </c>
    </row>
    <row r="46" spans="1:8" s="20" customFormat="1" ht="29.25" customHeight="1">
      <c r="A46" s="72" t="s">
        <v>230</v>
      </c>
      <c r="B46" s="73">
        <v>1200</v>
      </c>
      <c r="C46" s="192">
        <f>SUM(C41:C45)</f>
        <v>-14193</v>
      </c>
      <c r="D46" s="192">
        <f t="shared" ref="D46:F46" si="9">SUM(D41:D45)</f>
        <v>-26437</v>
      </c>
      <c r="E46" s="192">
        <f t="shared" si="9"/>
        <v>0</v>
      </c>
      <c r="F46" s="192">
        <f t="shared" si="9"/>
        <v>-26437</v>
      </c>
      <c r="G46" s="302">
        <f t="shared" si="6"/>
        <v>-26437</v>
      </c>
      <c r="H46" s="152">
        <f t="shared" si="7"/>
        <v>0</v>
      </c>
    </row>
    <row r="47" spans="1:8" s="20" customFormat="1" ht="30.75" customHeight="1">
      <c r="A47" s="102" t="s">
        <v>316</v>
      </c>
      <c r="B47" s="103">
        <v>1201</v>
      </c>
      <c r="C47" s="196" t="str">
        <f>'I. Фін результат'!C76</f>
        <v/>
      </c>
      <c r="D47" s="196" t="str">
        <f>'I. Фін результат'!D76</f>
        <v/>
      </c>
      <c r="E47" s="196">
        <f>'I. Фін результат'!E76</f>
        <v>0</v>
      </c>
      <c r="F47" s="196" t="str">
        <f>'I. Фін результат'!F76</f>
        <v/>
      </c>
      <c r="G47" s="301"/>
      <c r="H47" s="151">
        <f t="shared" si="7"/>
        <v>0</v>
      </c>
    </row>
    <row r="48" spans="1:8" s="20" customFormat="1" ht="30.75" customHeight="1">
      <c r="A48" s="102" t="s">
        <v>317</v>
      </c>
      <c r="B48" s="103">
        <v>1202</v>
      </c>
      <c r="C48" s="196">
        <f>'I. Фін результат'!C77</f>
        <v>-14193</v>
      </c>
      <c r="D48" s="196">
        <f>'I. Фін результат'!D77</f>
        <v>-26437</v>
      </c>
      <c r="E48" s="196" t="str">
        <f>'I. Фін результат'!E77</f>
        <v/>
      </c>
      <c r="F48" s="196">
        <f>'I. Фін результат'!F77</f>
        <v>-26437</v>
      </c>
      <c r="G48" s="193">
        <f>IF(F48="",0,F48)-IF(E48="",0,E48)</f>
        <v>-26437</v>
      </c>
      <c r="H48" s="153">
        <f>IF(IF(E48="",0,E48)=0,0,IF(F48="",0,F48)/IF(E48="",0,E48))*100</f>
        <v>0</v>
      </c>
    </row>
    <row r="49" spans="1:8" s="20" customFormat="1" ht="29.25" customHeight="1">
      <c r="A49" s="72" t="s">
        <v>19</v>
      </c>
      <c r="B49" s="73">
        <v>1210</v>
      </c>
      <c r="C49" s="192">
        <f>SUM(C25,C30,C35,C37,C39,C43,C44)</f>
        <v>701507</v>
      </c>
      <c r="D49" s="192">
        <f>SUM(D25,D30,D35,D37,D39,D43,D44)</f>
        <v>870548</v>
      </c>
      <c r="E49" s="192">
        <f>SUM(E25,E30,E35,E37,E39,E43,E44)</f>
        <v>1268431</v>
      </c>
      <c r="F49" s="192">
        <f>SUM(F25,F30,F35,F37,F39,F43,F44)</f>
        <v>870548</v>
      </c>
      <c r="G49" s="302">
        <f t="shared" si="6"/>
        <v>-397883</v>
      </c>
      <c r="H49" s="152">
        <f t="shared" si="7"/>
        <v>68.631876704369404</v>
      </c>
    </row>
    <row r="50" spans="1:8" s="20" customFormat="1" ht="29.25" customHeight="1">
      <c r="A50" s="72" t="s">
        <v>89</v>
      </c>
      <c r="B50" s="73">
        <v>1220</v>
      </c>
      <c r="C50" s="192">
        <f>SUM(C26,C28,C29,C31,C36,C38,C40,C42,C45)</f>
        <v>-715700</v>
      </c>
      <c r="D50" s="192">
        <f>SUM(D26,D28,D29,D31,D36,D38,D40,D42,D45)</f>
        <v>-896985</v>
      </c>
      <c r="E50" s="192">
        <f>SUM(E26,E28,E29,E31,E36,E38,E40,E42,E45)</f>
        <v>-1268431</v>
      </c>
      <c r="F50" s="192">
        <f>SUM(F26,F28,F29,F31,F36,F38,F40,F42,F45)</f>
        <v>-896985</v>
      </c>
      <c r="G50" s="302">
        <f t="shared" si="6"/>
        <v>371446</v>
      </c>
      <c r="H50" s="152">
        <f t="shared" si="7"/>
        <v>70.716105172453211</v>
      </c>
    </row>
    <row r="51" spans="1:8" s="20" customFormat="1" ht="30.75" customHeight="1">
      <c r="A51" s="102" t="s">
        <v>142</v>
      </c>
      <c r="B51" s="103">
        <v>1230</v>
      </c>
      <c r="C51" s="196">
        <f>'I. Фін результат'!C80</f>
        <v>0</v>
      </c>
      <c r="D51" s="196">
        <f>'I. Фін результат'!D80</f>
        <v>0</v>
      </c>
      <c r="E51" s="196">
        <f>'I. Фін результат'!E80</f>
        <v>0</v>
      </c>
      <c r="F51" s="196">
        <f>'I. Фін результат'!F80</f>
        <v>0</v>
      </c>
      <c r="G51" s="196">
        <f t="shared" si="6"/>
        <v>0</v>
      </c>
      <c r="H51" s="151">
        <f t="shared" si="7"/>
        <v>0</v>
      </c>
    </row>
    <row r="52" spans="1:8" s="20" customFormat="1" ht="29.25" customHeight="1">
      <c r="A52" s="72" t="s">
        <v>133</v>
      </c>
      <c r="B52" s="73"/>
      <c r="C52" s="192"/>
      <c r="D52" s="192"/>
      <c r="E52" s="192"/>
      <c r="F52" s="192"/>
      <c r="G52" s="302">
        <f t="shared" si="6"/>
        <v>0</v>
      </c>
      <c r="H52" s="152">
        <f t="shared" si="7"/>
        <v>0</v>
      </c>
    </row>
    <row r="53" spans="1:8" s="20" customFormat="1" ht="31.5" customHeight="1">
      <c r="A53" s="102" t="s">
        <v>412</v>
      </c>
      <c r="B53" s="103">
        <v>1400</v>
      </c>
      <c r="C53" s="196">
        <f>'I. Фін результат'!C90</f>
        <v>268191</v>
      </c>
      <c r="D53" s="196">
        <f>'I. Фін результат'!D90</f>
        <v>325573</v>
      </c>
      <c r="E53" s="196">
        <f>'I. Фін результат'!E90</f>
        <v>601208</v>
      </c>
      <c r="F53" s="196">
        <f>'I. Фін результат'!F90</f>
        <v>325573</v>
      </c>
      <c r="G53" s="196">
        <f t="shared" si="6"/>
        <v>-275635</v>
      </c>
      <c r="H53" s="151">
        <f t="shared" si="7"/>
        <v>54.153138348125772</v>
      </c>
    </row>
    <row r="54" spans="1:8" s="20" customFormat="1" ht="30.75" customHeight="1">
      <c r="A54" s="102" t="s">
        <v>5</v>
      </c>
      <c r="B54" s="103">
        <v>1410</v>
      </c>
      <c r="C54" s="196">
        <f>'I. Фін результат'!C91</f>
        <v>295325</v>
      </c>
      <c r="D54" s="196">
        <f>'I. Фін результат'!D91</f>
        <v>365924</v>
      </c>
      <c r="E54" s="196">
        <f>'I. Фін результат'!E91</f>
        <v>408816</v>
      </c>
      <c r="F54" s="196">
        <f>'I. Фін результат'!F91</f>
        <v>365924</v>
      </c>
      <c r="G54" s="196">
        <f t="shared" si="6"/>
        <v>-42892</v>
      </c>
      <c r="H54" s="151">
        <f t="shared" si="7"/>
        <v>89.508238425110562</v>
      </c>
    </row>
    <row r="55" spans="1:8" s="20" customFormat="1" ht="35.25" customHeight="1">
      <c r="A55" s="102" t="s">
        <v>6</v>
      </c>
      <c r="B55" s="103">
        <v>1420</v>
      </c>
      <c r="C55" s="196">
        <f>'I. Фін результат'!C92</f>
        <v>70337</v>
      </c>
      <c r="D55" s="196">
        <f>'I. Фін результат'!D92</f>
        <v>86423</v>
      </c>
      <c r="E55" s="196">
        <f>'I. Фін результат'!E92</f>
        <v>98295</v>
      </c>
      <c r="F55" s="196">
        <f>'I. Фін результат'!F92</f>
        <v>86423</v>
      </c>
      <c r="G55" s="196">
        <f t="shared" si="6"/>
        <v>-11872</v>
      </c>
      <c r="H55" s="151">
        <f t="shared" si="7"/>
        <v>87.922071315936719</v>
      </c>
    </row>
    <row r="56" spans="1:8" s="20" customFormat="1" ht="34.5" customHeight="1">
      <c r="A56" s="102" t="s">
        <v>7</v>
      </c>
      <c r="B56" s="103">
        <v>1430</v>
      </c>
      <c r="C56" s="196">
        <f>'I. Фін результат'!C93</f>
        <v>40417</v>
      </c>
      <c r="D56" s="196">
        <f>'I. Фін результат'!D93</f>
        <v>49364</v>
      </c>
      <c r="E56" s="196">
        <f>'I. Фін результат'!E93</f>
        <v>46229</v>
      </c>
      <c r="F56" s="196">
        <f>'I. Фін результат'!F93</f>
        <v>49364</v>
      </c>
      <c r="G56" s="196">
        <f t="shared" si="6"/>
        <v>3135</v>
      </c>
      <c r="H56" s="151">
        <f t="shared" si="7"/>
        <v>106.78145752666074</v>
      </c>
    </row>
    <row r="57" spans="1:8" s="20" customFormat="1" ht="33" customHeight="1">
      <c r="A57" s="102" t="s">
        <v>27</v>
      </c>
      <c r="B57" s="103">
        <v>1440</v>
      </c>
      <c r="C57" s="196">
        <f>'I. Фін результат'!C94</f>
        <v>29722</v>
      </c>
      <c r="D57" s="196">
        <f>'I. Фін результат'!D94</f>
        <v>72790</v>
      </c>
      <c r="E57" s="196">
        <f>'I. Фін результат'!E94</f>
        <v>113736</v>
      </c>
      <c r="F57" s="196">
        <f>'I. Фін результат'!F94</f>
        <v>72790</v>
      </c>
      <c r="G57" s="196">
        <f t="shared" si="6"/>
        <v>-40946</v>
      </c>
      <c r="H57" s="151">
        <f t="shared" si="7"/>
        <v>63.99908560174439</v>
      </c>
    </row>
    <row r="58" spans="1:8" s="20" customFormat="1" ht="33.75" customHeight="1" thickBot="1">
      <c r="A58" s="72" t="s">
        <v>50</v>
      </c>
      <c r="B58" s="73">
        <v>1450</v>
      </c>
      <c r="C58" s="192">
        <f>SUM(C53:C57)</f>
        <v>703992</v>
      </c>
      <c r="D58" s="192">
        <f t="shared" ref="D58:F58" si="10">SUM(D53:D57)</f>
        <v>900074</v>
      </c>
      <c r="E58" s="192">
        <f t="shared" si="10"/>
        <v>1268284</v>
      </c>
      <c r="F58" s="192">
        <f t="shared" si="10"/>
        <v>900074</v>
      </c>
      <c r="G58" s="302">
        <f t="shared" si="6"/>
        <v>-368210</v>
      </c>
      <c r="H58" s="152">
        <f t="shared" si="7"/>
        <v>70.96785893380347</v>
      </c>
    </row>
    <row r="59" spans="1:8" s="20" customFormat="1" ht="33.75" customHeight="1" thickBot="1">
      <c r="A59" s="385" t="s">
        <v>103</v>
      </c>
      <c r="B59" s="386"/>
      <c r="C59" s="386"/>
      <c r="D59" s="386"/>
      <c r="E59" s="386"/>
      <c r="F59" s="386"/>
      <c r="G59" s="386"/>
      <c r="H59" s="387"/>
    </row>
    <row r="60" spans="1:8" s="20" customFormat="1" ht="37.5" customHeight="1">
      <c r="A60" s="379" t="s">
        <v>352</v>
      </c>
      <c r="B60" s="380"/>
      <c r="C60" s="380"/>
      <c r="D60" s="380"/>
      <c r="E60" s="380"/>
      <c r="F60" s="380"/>
      <c r="G60" s="380"/>
      <c r="H60" s="381"/>
    </row>
    <row r="61" spans="1:8" ht="50.25" customHeight="1">
      <c r="A61" s="76" t="s">
        <v>360</v>
      </c>
      <c r="B61" s="77">
        <v>2110</v>
      </c>
      <c r="C61" s="193">
        <f>'ІІ. Розр. з бюджетом'!C19</f>
        <v>4735</v>
      </c>
      <c r="D61" s="193">
        <f>'ІІ. Розр. з бюджетом'!D19</f>
        <v>6409</v>
      </c>
      <c r="E61" s="193">
        <f>'ІІ. Розр. з бюджетом'!E19</f>
        <v>6733</v>
      </c>
      <c r="F61" s="193">
        <f>'ІІ. Розр. з бюджетом'!F19</f>
        <v>6409</v>
      </c>
      <c r="G61" s="196">
        <f t="shared" ref="G61" si="11">IF(F61="(    )",0,F61)-IF(E61="(    )",0,E61)</f>
        <v>-324</v>
      </c>
      <c r="H61" s="151">
        <f t="shared" ref="H61" si="12">IF(IF(E61="(    )",0,E61)=0,0,IF(F61="(    )",0,F61)/IF(E61="(    )",0,E61))*100</f>
        <v>95.187880588147934</v>
      </c>
    </row>
    <row r="62" spans="1:8" ht="51" customHeight="1">
      <c r="A62" s="76" t="s">
        <v>354</v>
      </c>
      <c r="B62" s="79">
        <v>2120</v>
      </c>
      <c r="C62" s="197">
        <f>'ІІ. Розр. з бюджетом'!C27</f>
        <v>53457</v>
      </c>
      <c r="D62" s="197">
        <f>'ІІ. Розр. з бюджетом'!D27</f>
        <v>66119</v>
      </c>
      <c r="E62" s="197">
        <f>'ІІ. Розр. з бюджетом'!E27</f>
        <v>73602</v>
      </c>
      <c r="F62" s="197">
        <f>'ІІ. Розр. з бюджетом'!F27</f>
        <v>66119</v>
      </c>
      <c r="G62" s="301">
        <f t="shared" ref="G62:G64" si="13">IF(F62="(    )",0,F62)-IF(E62="(    )",0,E62)</f>
        <v>-7483</v>
      </c>
      <c r="H62" s="151">
        <f t="shared" ref="H62:H64" si="14">IF(IF(E62="(    )",0,E62)=0,0,IF(F62="(    )",0,F62)/IF(E62="(    )",0,E62))*100</f>
        <v>89.833156707698151</v>
      </c>
    </row>
    <row r="63" spans="1:8" ht="36.75" customHeight="1">
      <c r="A63" s="76" t="s">
        <v>355</v>
      </c>
      <c r="B63" s="79">
        <v>2130</v>
      </c>
      <c r="C63" s="197">
        <f>'ІІ. Розр. з бюджетом'!C36</f>
        <v>63103</v>
      </c>
      <c r="D63" s="197">
        <f>'ІІ. Розр. з бюджетом'!D36</f>
        <v>76308</v>
      </c>
      <c r="E63" s="197">
        <f>'ІІ. Розр. з бюджетом'!E36</f>
        <v>89992</v>
      </c>
      <c r="F63" s="197">
        <f>'ІІ. Розр. з бюджетом'!F36</f>
        <v>76308</v>
      </c>
      <c r="G63" s="301">
        <f t="shared" si="13"/>
        <v>-13684</v>
      </c>
      <c r="H63" s="151">
        <f t="shared" si="14"/>
        <v>84.794203929238151</v>
      </c>
    </row>
    <row r="64" spans="1:8" s="20" customFormat="1" ht="33" customHeight="1" thickBot="1">
      <c r="A64" s="75" t="s">
        <v>394</v>
      </c>
      <c r="B64" s="140">
        <v>2200</v>
      </c>
      <c r="C64" s="198">
        <f>'ІІ. Розр. з бюджетом'!C43</f>
        <v>121295</v>
      </c>
      <c r="D64" s="198">
        <f>'ІІ. Розр. з бюджетом'!D43</f>
        <v>148836</v>
      </c>
      <c r="E64" s="198">
        <f>'ІІ. Розр. з бюджетом'!E43</f>
        <v>170327</v>
      </c>
      <c r="F64" s="198">
        <f>'ІІ. Розр. з бюджетом'!F43</f>
        <v>148836</v>
      </c>
      <c r="G64" s="302">
        <f t="shared" si="13"/>
        <v>-21491</v>
      </c>
      <c r="H64" s="152">
        <f t="shared" si="14"/>
        <v>87.382505416052652</v>
      </c>
    </row>
    <row r="65" spans="1:8" s="20" customFormat="1" ht="33" customHeight="1" thickBot="1">
      <c r="A65" s="385" t="s">
        <v>237</v>
      </c>
      <c r="B65" s="386"/>
      <c r="C65" s="386"/>
      <c r="D65" s="386"/>
      <c r="E65" s="386"/>
      <c r="F65" s="386"/>
      <c r="G65" s="386"/>
      <c r="H65" s="387"/>
    </row>
    <row r="66" spans="1:8" s="20" customFormat="1" ht="37.5" customHeight="1">
      <c r="A66" s="80" t="s">
        <v>234</v>
      </c>
      <c r="B66" s="81">
        <v>3405</v>
      </c>
      <c r="C66" s="198">
        <f>'ІІІ. Рух грош. коштів'!C66</f>
        <v>4839</v>
      </c>
      <c r="D66" s="198">
        <f>'ІІІ. Рух грош. коштів'!D66</f>
        <v>36271</v>
      </c>
      <c r="E66" s="198">
        <f>'ІІІ. Рух грош. коштів'!E66</f>
        <v>2639</v>
      </c>
      <c r="F66" s="198">
        <f>'ІІІ. Рух грош. коштів'!F66</f>
        <v>36271</v>
      </c>
      <c r="G66" s="302">
        <f t="shared" ref="G66" si="15">IF(F66="(    )",0,F66)-IF(E66="(    )",0,E66)</f>
        <v>33632</v>
      </c>
      <c r="H66" s="152">
        <f t="shared" ref="H66" si="16">IF(IF(E66="(    )",0,E66)=0,0,IF(F66="(    )",0,F66)/IF(E66="(    )",0,E66))*100</f>
        <v>1374.4221295945433</v>
      </c>
    </row>
    <row r="67" spans="1:8" s="20" customFormat="1" ht="33" customHeight="1">
      <c r="A67" s="82" t="s">
        <v>280</v>
      </c>
      <c r="B67" s="83">
        <v>3030</v>
      </c>
      <c r="C67" s="197">
        <f>'ІІІ. Рух грош. коштів'!C12</f>
        <v>572386</v>
      </c>
      <c r="D67" s="197">
        <f>'ІІІ. Рух грош. коштів'!D12</f>
        <v>456878</v>
      </c>
      <c r="E67" s="197">
        <f>'ІІІ. Рух грош. коштів'!E12</f>
        <v>888095</v>
      </c>
      <c r="F67" s="197">
        <f>'ІІІ. Рух грош. коштів'!F12</f>
        <v>456878</v>
      </c>
      <c r="G67" s="301">
        <f t="shared" ref="G67:G72" si="17">IF(F67="(    )",0,F67)-IF(E67="(    )",0,E67)</f>
        <v>-431217</v>
      </c>
      <c r="H67" s="151">
        <f t="shared" ref="H67:H72" si="18">IF(IF(E67="(    )",0,E67)=0,0,IF(F67="(    )",0,F67)/IF(E67="(    )",0,E67))*100</f>
        <v>51.444721566949482</v>
      </c>
    </row>
    <row r="68" spans="1:8" s="20" customFormat="1" ht="33" customHeight="1">
      <c r="A68" s="82" t="s">
        <v>228</v>
      </c>
      <c r="B68" s="83">
        <v>3195</v>
      </c>
      <c r="C68" s="197">
        <f>'ІІІ. Рух грош. коштів'!C34</f>
        <v>28298</v>
      </c>
      <c r="D68" s="197">
        <f>'ІІІ. Рух грош. коштів'!D34</f>
        <v>33584</v>
      </c>
      <c r="E68" s="197">
        <f>'ІІІ. Рух грош. коштів'!E34</f>
        <v>12025</v>
      </c>
      <c r="F68" s="197">
        <f>'ІІІ. Рух грош. коштів'!F34</f>
        <v>33584</v>
      </c>
      <c r="G68" s="301">
        <f t="shared" si="17"/>
        <v>21559</v>
      </c>
      <c r="H68" s="151">
        <f t="shared" si="18"/>
        <v>279.28482328482329</v>
      </c>
    </row>
    <row r="69" spans="1:8" s="20" customFormat="1" ht="33" customHeight="1">
      <c r="A69" s="82" t="s">
        <v>104</v>
      </c>
      <c r="B69" s="83">
        <v>3295</v>
      </c>
      <c r="C69" s="197">
        <f>'ІІІ. Рух грош. коштів'!C52</f>
        <v>-100117</v>
      </c>
      <c r="D69" s="197">
        <f>'ІІІ. Рух грош. коштів'!D52</f>
        <v>-207769</v>
      </c>
      <c r="E69" s="197">
        <f>'ІІІ. Рух грош. коштів'!E52</f>
        <v>-194518</v>
      </c>
      <c r="F69" s="197">
        <f>'ІІІ. Рух грош. коштів'!F52</f>
        <v>-207769</v>
      </c>
      <c r="G69" s="301">
        <f t="shared" si="17"/>
        <v>-13251</v>
      </c>
      <c r="H69" s="151">
        <f t="shared" si="18"/>
        <v>106.81222303334397</v>
      </c>
    </row>
    <row r="70" spans="1:8" s="20" customFormat="1" ht="33" customHeight="1">
      <c r="A70" s="82" t="s">
        <v>236</v>
      </c>
      <c r="B70" s="83">
        <v>3395</v>
      </c>
      <c r="C70" s="197">
        <f>'ІІІ. Рух грош. коштів'!C64</f>
        <v>103251</v>
      </c>
      <c r="D70" s="197">
        <f>'ІІІ. Рух грош. коштів'!D64</f>
        <v>180901</v>
      </c>
      <c r="E70" s="197">
        <f>'ІІІ. Рух грош. коштів'!E64</f>
        <v>182492</v>
      </c>
      <c r="F70" s="197">
        <f>'ІІІ. Рух грош. коштів'!F64</f>
        <v>90879</v>
      </c>
      <c r="G70" s="301">
        <f t="shared" si="17"/>
        <v>-91613</v>
      </c>
      <c r="H70" s="151">
        <f t="shared" si="18"/>
        <v>49.798895294040285</v>
      </c>
    </row>
    <row r="71" spans="1:8" s="20" customFormat="1" ht="33" customHeight="1">
      <c r="A71" s="82" t="s">
        <v>107</v>
      </c>
      <c r="B71" s="83">
        <v>3410</v>
      </c>
      <c r="C71" s="197">
        <f>'ІІІ. Рух грош. коштів'!C67</f>
        <v>0</v>
      </c>
      <c r="D71" s="197">
        <f>'ІІІ. Рух грош. коштів'!D67</f>
        <v>0</v>
      </c>
      <c r="E71" s="197">
        <f>'ІІІ. Рух грош. коштів'!E67</f>
        <v>0</v>
      </c>
      <c r="F71" s="197">
        <f>'ІІІ. Рух грош. коштів'!F67</f>
        <v>0</v>
      </c>
      <c r="G71" s="301">
        <f t="shared" si="17"/>
        <v>0</v>
      </c>
      <c r="H71" s="151">
        <f t="shared" si="18"/>
        <v>0</v>
      </c>
    </row>
    <row r="72" spans="1:8" s="20" customFormat="1" ht="37.5" customHeight="1" thickBot="1">
      <c r="A72" s="80" t="s">
        <v>235</v>
      </c>
      <c r="B72" s="81">
        <v>3415</v>
      </c>
      <c r="C72" s="198">
        <f>SUM(C66,C68:C71)</f>
        <v>36271</v>
      </c>
      <c r="D72" s="198">
        <f t="shared" ref="D72" si="19">SUM(D66,D68:D71)</f>
        <v>42987</v>
      </c>
      <c r="E72" s="198">
        <f>ROUNDUP(SUM(E66,E68:E71),0)</f>
        <v>2638</v>
      </c>
      <c r="F72" s="198">
        <f>SUM(F66,F68:F71)</f>
        <v>-47035</v>
      </c>
      <c r="G72" s="302">
        <f t="shared" si="17"/>
        <v>-49673</v>
      </c>
      <c r="H72" s="152">
        <f t="shared" si="18"/>
        <v>-1782.9795299469297</v>
      </c>
    </row>
    <row r="73" spans="1:8" s="20" customFormat="1" ht="33" customHeight="1" thickBot="1">
      <c r="A73" s="399" t="s">
        <v>238</v>
      </c>
      <c r="B73" s="400"/>
      <c r="C73" s="400"/>
      <c r="D73" s="400"/>
      <c r="E73" s="400"/>
      <c r="F73" s="400"/>
      <c r="G73" s="400"/>
      <c r="H73" s="401"/>
    </row>
    <row r="74" spans="1:8" s="20" customFormat="1" ht="33" customHeight="1">
      <c r="A74" s="141" t="s">
        <v>190</v>
      </c>
      <c r="B74" s="146">
        <v>4000</v>
      </c>
      <c r="C74" s="199">
        <f>'IV. Кап. інвестиції'!C7</f>
        <v>21962</v>
      </c>
      <c r="D74" s="199">
        <f>'IV. Кап. інвестиції'!D7</f>
        <v>114705</v>
      </c>
      <c r="E74" s="199">
        <f>'IV. Кап. інвестиції'!E7</f>
        <v>193118</v>
      </c>
      <c r="F74" s="199">
        <f>'IV. Кап. інвестиції'!F7</f>
        <v>114705</v>
      </c>
      <c r="G74" s="200">
        <f t="shared" ref="G74:G75" si="20">IF(F74="(    )",0,F74)-IF(E74="(    )",0,E74)</f>
        <v>-78413</v>
      </c>
      <c r="H74" s="156">
        <f t="shared" ref="H74:H75" si="21">IF(IF(E74="(    )",0,E74)=0,0,IF(F74="(    )",0,F74)/IF(E74="(    )",0,E74))*100</f>
        <v>59.396327633881874</v>
      </c>
    </row>
    <row r="75" spans="1:8" s="20" customFormat="1" ht="33" customHeight="1">
      <c r="A75" s="142" t="s">
        <v>1</v>
      </c>
      <c r="B75" s="81" t="s">
        <v>128</v>
      </c>
      <c r="C75" s="193">
        <f>'IV. Кап. інвестиції'!C8</f>
        <v>0</v>
      </c>
      <c r="D75" s="193">
        <f>'IV. Кап. інвестиції'!D8</f>
        <v>2935</v>
      </c>
      <c r="E75" s="193">
        <f>'IV. Кап. інвестиції'!E8</f>
        <v>2781</v>
      </c>
      <c r="F75" s="193">
        <f>'IV. Кап. інвестиції'!F8</f>
        <v>2935</v>
      </c>
      <c r="G75" s="301">
        <f t="shared" si="20"/>
        <v>154</v>
      </c>
      <c r="H75" s="157">
        <f t="shared" si="21"/>
        <v>105.53757641136281</v>
      </c>
    </row>
    <row r="76" spans="1:8" s="20" customFormat="1" ht="33" customHeight="1">
      <c r="A76" s="142" t="s">
        <v>2</v>
      </c>
      <c r="B76" s="81">
        <v>4020</v>
      </c>
      <c r="C76" s="193">
        <f>'IV. Кап. інвестиції'!C9</f>
        <v>11839</v>
      </c>
      <c r="D76" s="193">
        <f>'IV. Кап. інвестиції'!D9</f>
        <v>97337</v>
      </c>
      <c r="E76" s="193">
        <f>'IV. Кап. інвестиції'!E9</f>
        <v>134851</v>
      </c>
      <c r="F76" s="193">
        <f>'IV. Кап. інвестиції'!F9</f>
        <v>97337</v>
      </c>
      <c r="G76" s="301">
        <f t="shared" ref="G76:G79" si="22">IF(F76="(    )",0,F76)-IF(E76="(    )",0,E76)</f>
        <v>-37514</v>
      </c>
      <c r="H76" s="157">
        <f t="shared" ref="H76:H79" si="23">IF(IF(E76="(    )",0,E76)=0,0,IF(F76="(    )",0,F76)/IF(E76="(    )",0,E76))*100</f>
        <v>72.181148081957119</v>
      </c>
    </row>
    <row r="77" spans="1:8" s="20" customFormat="1" ht="33" customHeight="1">
      <c r="A77" s="142" t="s">
        <v>28</v>
      </c>
      <c r="B77" s="81">
        <v>4030</v>
      </c>
      <c r="C77" s="193">
        <f>'IV. Кап. інвестиції'!C10</f>
        <v>0</v>
      </c>
      <c r="D77" s="193">
        <f>'IV. Кап. інвестиції'!D10</f>
        <v>0</v>
      </c>
      <c r="E77" s="193">
        <f>'IV. Кап. інвестиції'!E10</f>
        <v>0</v>
      </c>
      <c r="F77" s="193">
        <f>'IV. Кап. інвестиції'!F10</f>
        <v>0</v>
      </c>
      <c r="G77" s="301">
        <f t="shared" si="22"/>
        <v>0</v>
      </c>
      <c r="H77" s="157">
        <f t="shared" si="23"/>
        <v>0</v>
      </c>
    </row>
    <row r="78" spans="1:8" s="20" customFormat="1" ht="33" customHeight="1">
      <c r="A78" s="142" t="s">
        <v>3</v>
      </c>
      <c r="B78" s="81">
        <v>4040</v>
      </c>
      <c r="C78" s="193">
        <f>'IV. Кап. інвестиції'!C11</f>
        <v>5</v>
      </c>
      <c r="D78" s="193">
        <f>'IV. Кап. інвестиції'!D11</f>
        <v>15</v>
      </c>
      <c r="E78" s="193">
        <f>'IV. Кап. інвестиції'!E11</f>
        <v>10</v>
      </c>
      <c r="F78" s="193">
        <f>'IV. Кап. інвестиції'!F11</f>
        <v>15</v>
      </c>
      <c r="G78" s="301">
        <f t="shared" si="22"/>
        <v>5</v>
      </c>
      <c r="H78" s="157">
        <f t="shared" si="23"/>
        <v>150</v>
      </c>
    </row>
    <row r="79" spans="1:8" s="20" customFormat="1" ht="42">
      <c r="A79" s="142" t="s">
        <v>60</v>
      </c>
      <c r="B79" s="81">
        <v>4050</v>
      </c>
      <c r="C79" s="193">
        <f>'IV. Кап. інвестиції'!C12</f>
        <v>10118</v>
      </c>
      <c r="D79" s="193">
        <f>'IV. Кап. інвестиції'!D12</f>
        <v>14418</v>
      </c>
      <c r="E79" s="193">
        <f>'IV. Кап. інвестиції'!E12</f>
        <v>6820</v>
      </c>
      <c r="F79" s="193">
        <f>'IV. Кап. інвестиції'!F12</f>
        <v>14418</v>
      </c>
      <c r="G79" s="301">
        <f t="shared" si="22"/>
        <v>7598</v>
      </c>
      <c r="H79" s="157">
        <f t="shared" si="23"/>
        <v>211.40762463343111</v>
      </c>
    </row>
    <row r="80" spans="1:8" s="20" customFormat="1" ht="33" customHeight="1">
      <c r="A80" s="142" t="s">
        <v>200</v>
      </c>
      <c r="B80" s="81">
        <v>4060</v>
      </c>
      <c r="C80" s="193">
        <f>'IV. Кап. інвестиції'!C13</f>
        <v>0</v>
      </c>
      <c r="D80" s="193">
        <f>'IV. Кап. інвестиції'!D13</f>
        <v>0</v>
      </c>
      <c r="E80" s="193">
        <f>'IV. Кап. інвестиції'!E13</f>
        <v>48656</v>
      </c>
      <c r="F80" s="193">
        <f>'IV. Кап. інвестиції'!F13</f>
        <v>0</v>
      </c>
      <c r="G80" s="301">
        <f t="shared" ref="G80:G85" si="24">IF(F80="(    )",0,F80)-IF(E80="(    )",0,E80)</f>
        <v>-48656</v>
      </c>
      <c r="H80" s="157">
        <f t="shared" ref="H80:H85" si="25">IF(IF(E80="(    )",0,E80)=0,0,IF(F80="(    )",0,F80)/IF(E80="(    )",0,E80))*100</f>
        <v>0</v>
      </c>
    </row>
    <row r="81" spans="1:8" s="20" customFormat="1" ht="33" customHeight="1">
      <c r="A81" s="143" t="s">
        <v>191</v>
      </c>
      <c r="B81" s="81">
        <v>4000</v>
      </c>
      <c r="C81" s="192">
        <f>SUM(C82:C85)</f>
        <v>0</v>
      </c>
      <c r="D81" s="192">
        <f t="shared" ref="D81:F81" si="26">SUM(D82:D85)</f>
        <v>113322</v>
      </c>
      <c r="E81" s="192">
        <f t="shared" si="26"/>
        <v>193118</v>
      </c>
      <c r="F81" s="192">
        <f t="shared" si="26"/>
        <v>113322</v>
      </c>
      <c r="G81" s="301">
        <f t="shared" si="24"/>
        <v>-79796</v>
      </c>
      <c r="H81" s="157">
        <f t="shared" si="25"/>
        <v>58.680185171760272</v>
      </c>
    </row>
    <row r="82" spans="1:8" s="20" customFormat="1" ht="33" customHeight="1">
      <c r="A82" s="142" t="s">
        <v>292</v>
      </c>
      <c r="B82" s="81" t="s">
        <v>192</v>
      </c>
      <c r="C82" s="193"/>
      <c r="D82" s="193">
        <f>'6.2. Інша інфо_2'!N71</f>
        <v>0</v>
      </c>
      <c r="E82" s="193">
        <f>'6.2. Інша інфо_2'!M71</f>
        <v>0</v>
      </c>
      <c r="F82" s="193">
        <f>'6.2. Інша інфо_2'!N71</f>
        <v>0</v>
      </c>
      <c r="G82" s="301">
        <f t="shared" si="24"/>
        <v>0</v>
      </c>
      <c r="H82" s="157">
        <f t="shared" si="25"/>
        <v>0</v>
      </c>
    </row>
    <row r="83" spans="1:8" s="20" customFormat="1" ht="33" customHeight="1">
      <c r="A83" s="142" t="s">
        <v>293</v>
      </c>
      <c r="B83" s="81" t="s">
        <v>193</v>
      </c>
      <c r="C83" s="193"/>
      <c r="D83" s="193">
        <f>'6.2. Інша інфо_2'!R71</f>
        <v>111905</v>
      </c>
      <c r="E83" s="193">
        <f>'6.2. Інша інфо_2'!Q71</f>
        <v>184555</v>
      </c>
      <c r="F83" s="193">
        <f>'6.2. Інша інфо_2'!R71</f>
        <v>111905</v>
      </c>
      <c r="G83" s="301">
        <f t="shared" si="24"/>
        <v>-72650</v>
      </c>
      <c r="H83" s="157">
        <f t="shared" si="25"/>
        <v>60.635041044675035</v>
      </c>
    </row>
    <row r="84" spans="1:8" s="20" customFormat="1" ht="33" customHeight="1">
      <c r="A84" s="142" t="s">
        <v>160</v>
      </c>
      <c r="B84" s="81" t="s">
        <v>194</v>
      </c>
      <c r="C84" s="193"/>
      <c r="D84" s="193">
        <f>'6.2. Інша інфо_2'!V71</f>
        <v>1417</v>
      </c>
      <c r="E84" s="193">
        <f>'6.2. Інша інфо_2'!U71</f>
        <v>8563</v>
      </c>
      <c r="F84" s="193">
        <f>'6.2. Інша інфо_2'!V71</f>
        <v>1417</v>
      </c>
      <c r="G84" s="301">
        <f t="shared" si="24"/>
        <v>-7146</v>
      </c>
      <c r="H84" s="157">
        <f t="shared" si="25"/>
        <v>16.54793880649305</v>
      </c>
    </row>
    <row r="85" spans="1:8" s="20" customFormat="1" ht="33" customHeight="1" thickBot="1">
      <c r="A85" s="144" t="s">
        <v>294</v>
      </c>
      <c r="B85" s="145" t="s">
        <v>195</v>
      </c>
      <c r="C85" s="235"/>
      <c r="D85" s="235">
        <f>'6.2. Інша інфо_2'!Z71</f>
        <v>0</v>
      </c>
      <c r="E85" s="235">
        <f>'6.2. Інша інфо_2'!Y71</f>
        <v>0</v>
      </c>
      <c r="F85" s="235">
        <f>'6.2. Інша інфо_2'!Z71</f>
        <v>0</v>
      </c>
      <c r="G85" s="235">
        <f t="shared" si="24"/>
        <v>0</v>
      </c>
      <c r="H85" s="236">
        <f t="shared" si="25"/>
        <v>0</v>
      </c>
    </row>
    <row r="86" spans="1:8" s="20" customFormat="1" ht="33" customHeight="1" thickBot="1">
      <c r="A86" s="402" t="s">
        <v>126</v>
      </c>
      <c r="B86" s="403"/>
      <c r="C86" s="403"/>
      <c r="D86" s="403"/>
      <c r="E86" s="403"/>
      <c r="F86" s="403"/>
      <c r="G86" s="403"/>
      <c r="H86" s="404"/>
    </row>
    <row r="87" spans="1:8" s="20" customFormat="1" ht="33" customHeight="1">
      <c r="A87" s="82" t="s">
        <v>265</v>
      </c>
      <c r="B87" s="83">
        <v>5040</v>
      </c>
      <c r="C87" s="155">
        <f>' V. Коефіцієнти'!D11</f>
        <v>-12.062108000611902</v>
      </c>
      <c r="D87" s="155">
        <f>' V. Коефіцієнти'!E11</f>
        <v>-6.7721715162522385</v>
      </c>
      <c r="E87" s="155">
        <f>' V. Коефіцієнти'!F11</f>
        <v>0</v>
      </c>
      <c r="F87" s="155">
        <f>' V. Коефіцієнти'!G11</f>
        <v>-6.7721715162522385</v>
      </c>
      <c r="G87" s="154">
        <f t="shared" ref="G87" si="27">IF(F87="(    )",0,F87)-IF(E87="(    )",0,E87)</f>
        <v>-6.7721715162522385</v>
      </c>
      <c r="H87" s="157">
        <f t="shared" ref="H87" si="28">IF(IF(E87="(    )",0,E87)=0,0,IF(F87="(    )",0,F87)/IF(E87="(    )",0,E87))*100</f>
        <v>0</v>
      </c>
    </row>
    <row r="88" spans="1:8" s="20" customFormat="1" ht="33" customHeight="1">
      <c r="A88" s="82" t="s">
        <v>266</v>
      </c>
      <c r="B88" s="83">
        <v>5020</v>
      </c>
      <c r="C88" s="155">
        <f>' V. Коефіцієнти'!D9</f>
        <v>-2.1713123030321571</v>
      </c>
      <c r="D88" s="155">
        <f>' V. Коефіцієнти'!E9</f>
        <v>-3.549619755526435</v>
      </c>
      <c r="E88" s="155">
        <f>' V. Коефіцієнти'!F9</f>
        <v>0</v>
      </c>
      <c r="F88" s="155">
        <f>' V. Коефіцієнти'!G9</f>
        <v>-3.549619755526435</v>
      </c>
      <c r="G88" s="154">
        <f t="shared" ref="G88:G91" si="29">IF(F88="(    )",0,F88)-IF(E88="(    )",0,E88)</f>
        <v>-3.549619755526435</v>
      </c>
      <c r="H88" s="157">
        <f t="shared" ref="H88:H91" si="30">IF(IF(E88="(    )",0,E88)=0,0,IF(F88="(    )",0,F88)/IF(E88="(    )",0,E88))*100</f>
        <v>0</v>
      </c>
    </row>
    <row r="89" spans="1:8" s="20" customFormat="1" ht="33" customHeight="1">
      <c r="A89" s="82" t="s">
        <v>267</v>
      </c>
      <c r="B89" s="83">
        <v>5030</v>
      </c>
      <c r="C89" s="155">
        <f>' V. Коефіцієнти'!D10</f>
        <v>-3.0688828297811153</v>
      </c>
      <c r="D89" s="155">
        <f>' V. Коефіцієнти'!E10</f>
        <v>-3.9735228736459702</v>
      </c>
      <c r="E89" s="155">
        <f>' V. Коефіцієнти'!F10</f>
        <v>0</v>
      </c>
      <c r="F89" s="155">
        <f>' V. Коефіцієнти'!G10</f>
        <v>-3.9735228736459702</v>
      </c>
      <c r="G89" s="154">
        <f t="shared" si="29"/>
        <v>-3.9735228736459702</v>
      </c>
      <c r="H89" s="157">
        <f t="shared" si="30"/>
        <v>0</v>
      </c>
    </row>
    <row r="90" spans="1:8" s="20" customFormat="1" ht="33" customHeight="1">
      <c r="A90" s="82" t="s">
        <v>132</v>
      </c>
      <c r="B90" s="83">
        <v>5110</v>
      </c>
      <c r="C90" s="155">
        <f>' V. Коефіцієнти'!D14</f>
        <v>2.4190993780697672</v>
      </c>
      <c r="D90" s="155">
        <f>' V. Коефіцієнти'!E14</f>
        <v>8.3736580454345226</v>
      </c>
      <c r="E90" s="155">
        <f>' V. Коефіцієнти'!F14</f>
        <v>4.5087304195421183</v>
      </c>
      <c r="F90" s="155">
        <f>' V. Коефіцієнти'!G14</f>
        <v>8.3736580454345226</v>
      </c>
      <c r="G90" s="154">
        <f t="shared" si="29"/>
        <v>3.8649276258924044</v>
      </c>
      <c r="H90" s="157">
        <f t="shared" si="30"/>
        <v>185.72097389413017</v>
      </c>
    </row>
    <row r="91" spans="1:8" s="20" customFormat="1" ht="33" customHeight="1" thickBot="1">
      <c r="A91" s="82" t="s">
        <v>268</v>
      </c>
      <c r="B91" s="83">
        <v>5220</v>
      </c>
      <c r="C91" s="155">
        <f>' V. Коефіцієнти'!D19</f>
        <v>0.38368115518478174</v>
      </c>
      <c r="D91" s="155">
        <f>' V. Коефіцієнти'!E19</f>
        <v>0.37511956147695341</v>
      </c>
      <c r="E91" s="155">
        <f>' V. Коефіцієнти'!F19</f>
        <v>0.39413870182785354</v>
      </c>
      <c r="F91" s="155">
        <f>' V. Коефіцієнти'!G19</f>
        <v>0.37511956147695341</v>
      </c>
      <c r="G91" s="154">
        <f t="shared" si="29"/>
        <v>-1.9019140350900132E-2</v>
      </c>
      <c r="H91" s="157">
        <f t="shared" si="30"/>
        <v>95.174505760866126</v>
      </c>
    </row>
    <row r="92" spans="1:8" s="20" customFormat="1" ht="33" customHeight="1" thickBot="1">
      <c r="A92" s="385" t="s">
        <v>239</v>
      </c>
      <c r="B92" s="386"/>
      <c r="C92" s="386"/>
      <c r="D92" s="386"/>
      <c r="E92" s="386"/>
      <c r="F92" s="386"/>
      <c r="G92" s="386"/>
      <c r="H92" s="387"/>
    </row>
    <row r="93" spans="1:8" s="20" customFormat="1" ht="33" customHeight="1">
      <c r="A93" s="147" t="s">
        <v>259</v>
      </c>
      <c r="B93" s="148">
        <v>6000</v>
      </c>
      <c r="C93" s="201">
        <v>429231</v>
      </c>
      <c r="D93" s="201">
        <v>601709</v>
      </c>
      <c r="E93" s="201">
        <v>582100</v>
      </c>
      <c r="F93" s="201">
        <f>D93</f>
        <v>601709</v>
      </c>
      <c r="G93" s="301">
        <f t="shared" ref="G93" si="31">IF(F93="(    )",0,F93)-IF(E93="(    )",0,E93)</f>
        <v>19609</v>
      </c>
      <c r="H93" s="157">
        <f t="shared" ref="H93" si="32">IF(IF(E93="(    )",0,E93)=0,0,IF(F93="(    )",0,F93)/IF(E93="(    )",0,E93))*100</f>
        <v>103.3686651778045</v>
      </c>
    </row>
    <row r="94" spans="1:8" s="20" customFormat="1" ht="33" customHeight="1">
      <c r="A94" s="149" t="s">
        <v>260</v>
      </c>
      <c r="B94" s="148">
        <v>6001</v>
      </c>
      <c r="C94" s="196">
        <f>C95-C96</f>
        <v>371162</v>
      </c>
      <c r="D94" s="196">
        <f t="shared" ref="D94:F94" si="33">D95-D96</f>
        <v>461233</v>
      </c>
      <c r="E94" s="196">
        <f t="shared" si="33"/>
        <v>428247</v>
      </c>
      <c r="F94" s="196">
        <f t="shared" si="33"/>
        <v>461233</v>
      </c>
      <c r="G94" s="301">
        <f t="shared" ref="G94:G107" si="34">IF(F94="(    )",0,F94)-IF(E94="(    )",0,E94)</f>
        <v>32986</v>
      </c>
      <c r="H94" s="151">
        <f t="shared" ref="H94:H107" si="35">IF(IF(E94="(    )",0,E94)=0,0,IF(F94="(    )",0,F94)/IF(E94="(    )",0,E94))*100</f>
        <v>107.70256417441337</v>
      </c>
    </row>
    <row r="95" spans="1:8" s="20" customFormat="1" ht="33" customHeight="1">
      <c r="A95" s="149" t="s">
        <v>261</v>
      </c>
      <c r="B95" s="148">
        <v>6002</v>
      </c>
      <c r="C95" s="196">
        <v>602224</v>
      </c>
      <c r="D95" s="196">
        <v>738114</v>
      </c>
      <c r="E95" s="196">
        <v>706840</v>
      </c>
      <c r="F95" s="196">
        <f>D95</f>
        <v>738114</v>
      </c>
      <c r="G95" s="301">
        <f t="shared" si="34"/>
        <v>31274</v>
      </c>
      <c r="H95" s="151">
        <f t="shared" si="35"/>
        <v>104.42448078773133</v>
      </c>
    </row>
    <row r="96" spans="1:8" s="20" customFormat="1" ht="27" customHeight="1">
      <c r="A96" s="149" t="s">
        <v>262</v>
      </c>
      <c r="B96" s="148">
        <v>6003</v>
      </c>
      <c r="C96" s="196">
        <v>231062</v>
      </c>
      <c r="D96" s="196">
        <v>276881</v>
      </c>
      <c r="E96" s="196">
        <v>278593</v>
      </c>
      <c r="F96" s="196">
        <f t="shared" ref="F96:F98" si="36">D96</f>
        <v>276881</v>
      </c>
      <c r="G96" s="301">
        <f t="shared" si="34"/>
        <v>-1712</v>
      </c>
      <c r="H96" s="151">
        <f t="shared" si="35"/>
        <v>99.385483483073884</v>
      </c>
    </row>
    <row r="97" spans="1:8" s="20" customFormat="1" ht="33" customHeight="1">
      <c r="A97" s="149" t="s">
        <v>263</v>
      </c>
      <c r="B97" s="148">
        <v>6010</v>
      </c>
      <c r="C97" s="196">
        <v>224429</v>
      </c>
      <c r="D97" s="196">
        <v>143075</v>
      </c>
      <c r="E97" s="196">
        <v>172238</v>
      </c>
      <c r="F97" s="196">
        <f t="shared" si="36"/>
        <v>143075</v>
      </c>
      <c r="G97" s="301">
        <f t="shared" si="34"/>
        <v>-29163</v>
      </c>
      <c r="H97" s="151">
        <f t="shared" si="35"/>
        <v>83.068196332981103</v>
      </c>
    </row>
    <row r="98" spans="1:8" s="20" customFormat="1" ht="33" customHeight="1">
      <c r="A98" s="149" t="s">
        <v>334</v>
      </c>
      <c r="B98" s="40">
        <v>6011</v>
      </c>
      <c r="C98" s="196">
        <v>36271</v>
      </c>
      <c r="D98" s="196">
        <v>42987</v>
      </c>
      <c r="E98" s="196">
        <v>2638</v>
      </c>
      <c r="F98" s="196">
        <f t="shared" si="36"/>
        <v>42987</v>
      </c>
      <c r="G98" s="301">
        <f t="shared" si="34"/>
        <v>40349</v>
      </c>
      <c r="H98" s="151">
        <f t="shared" si="35"/>
        <v>1629.5299469294921</v>
      </c>
    </row>
    <row r="99" spans="1:8" s="20" customFormat="1" ht="27.75" customHeight="1">
      <c r="A99" s="150" t="s">
        <v>145</v>
      </c>
      <c r="B99" s="40">
        <v>6020</v>
      </c>
      <c r="C99" s="201">
        <f>C93+C97</f>
        <v>653660</v>
      </c>
      <c r="D99" s="201">
        <f t="shared" ref="D99:F99" si="37">D93+D97</f>
        <v>744784</v>
      </c>
      <c r="E99" s="201">
        <f t="shared" si="37"/>
        <v>754338</v>
      </c>
      <c r="F99" s="201">
        <f t="shared" si="37"/>
        <v>744784</v>
      </c>
      <c r="G99" s="302">
        <f t="shared" si="34"/>
        <v>-9554</v>
      </c>
      <c r="H99" s="152">
        <f t="shared" si="35"/>
        <v>98.733459006440086</v>
      </c>
    </row>
    <row r="100" spans="1:8" s="20" customFormat="1" ht="33" customHeight="1">
      <c r="A100" s="149" t="s">
        <v>101</v>
      </c>
      <c r="B100" s="148">
        <v>6030</v>
      </c>
      <c r="C100" s="196">
        <v>462481</v>
      </c>
      <c r="D100" s="196">
        <v>665329</v>
      </c>
      <c r="E100" s="196">
        <v>617403</v>
      </c>
      <c r="F100" s="196">
        <f>D100</f>
        <v>665329</v>
      </c>
      <c r="G100" s="301">
        <f t="shared" si="34"/>
        <v>47926</v>
      </c>
      <c r="H100" s="151">
        <f t="shared" si="35"/>
        <v>107.76251492137226</v>
      </c>
    </row>
    <row r="101" spans="1:8" s="20" customFormat="1" ht="33" customHeight="1">
      <c r="A101" s="149" t="s">
        <v>108</v>
      </c>
      <c r="B101" s="148">
        <v>6040</v>
      </c>
      <c r="C101" s="196"/>
      <c r="D101" s="196"/>
      <c r="E101" s="196"/>
      <c r="F101" s="196"/>
      <c r="G101" s="301">
        <f t="shared" si="34"/>
        <v>0</v>
      </c>
      <c r="H101" s="151">
        <f t="shared" si="35"/>
        <v>0</v>
      </c>
    </row>
    <row r="102" spans="1:8" s="20" customFormat="1" ht="33" customHeight="1">
      <c r="A102" s="149" t="s">
        <v>109</v>
      </c>
      <c r="B102" s="40">
        <v>6050</v>
      </c>
      <c r="C102" s="196">
        <v>191179</v>
      </c>
      <c r="D102" s="196">
        <v>79455</v>
      </c>
      <c r="E102" s="196">
        <v>136935</v>
      </c>
      <c r="F102" s="196">
        <f>D102</f>
        <v>79455</v>
      </c>
      <c r="G102" s="301">
        <f t="shared" si="34"/>
        <v>-57480</v>
      </c>
      <c r="H102" s="151">
        <f t="shared" si="35"/>
        <v>58.023879943038672</v>
      </c>
    </row>
    <row r="103" spans="1:8" s="20" customFormat="1" ht="27.75" customHeight="1">
      <c r="A103" s="150" t="s">
        <v>146</v>
      </c>
      <c r="B103" s="40">
        <v>6060</v>
      </c>
      <c r="C103" s="201">
        <f>SUM(C101:C102)</f>
        <v>191179</v>
      </c>
      <c r="D103" s="201">
        <f t="shared" ref="D103:F103" si="38">SUM(D101:D102)</f>
        <v>79455</v>
      </c>
      <c r="E103" s="201">
        <f t="shared" si="38"/>
        <v>136935</v>
      </c>
      <c r="F103" s="201">
        <f t="shared" si="38"/>
        <v>79455</v>
      </c>
      <c r="G103" s="302">
        <f t="shared" si="34"/>
        <v>-57480</v>
      </c>
      <c r="H103" s="152">
        <f t="shared" si="35"/>
        <v>58.023879943038672</v>
      </c>
    </row>
    <row r="104" spans="1:8" s="20" customFormat="1" ht="28.5" customHeight="1">
      <c r="A104" s="149" t="s">
        <v>323</v>
      </c>
      <c r="B104" s="148">
        <v>6070</v>
      </c>
      <c r="C104" s="196"/>
      <c r="D104" s="196"/>
      <c r="E104" s="196"/>
      <c r="F104" s="196"/>
      <c r="G104" s="301">
        <f t="shared" si="34"/>
        <v>0</v>
      </c>
      <c r="H104" s="152">
        <f t="shared" si="35"/>
        <v>0</v>
      </c>
    </row>
    <row r="105" spans="1:8" s="20" customFormat="1" ht="28.5" customHeight="1">
      <c r="A105" s="149" t="s">
        <v>324</v>
      </c>
      <c r="B105" s="40">
        <v>6080</v>
      </c>
      <c r="C105" s="196">
        <v>3485</v>
      </c>
      <c r="D105" s="196"/>
      <c r="E105" s="196">
        <v>39</v>
      </c>
      <c r="F105" s="196">
        <f>D105</f>
        <v>0</v>
      </c>
      <c r="G105" s="301">
        <f t="shared" si="34"/>
        <v>-39</v>
      </c>
      <c r="H105" s="151">
        <f t="shared" si="35"/>
        <v>0</v>
      </c>
    </row>
    <row r="106" spans="1:8" s="20" customFormat="1" ht="27.75" customHeight="1">
      <c r="A106" s="150" t="s">
        <v>325</v>
      </c>
      <c r="B106" s="40">
        <v>6090</v>
      </c>
      <c r="C106" s="201">
        <f>C100+C103</f>
        <v>653660</v>
      </c>
      <c r="D106" s="201">
        <f t="shared" ref="D106:F106" si="39">D100+D103</f>
        <v>744784</v>
      </c>
      <c r="E106" s="201">
        <f>E100+E103</f>
        <v>754338</v>
      </c>
      <c r="F106" s="201">
        <f t="shared" si="39"/>
        <v>744784</v>
      </c>
      <c r="G106" s="302">
        <f t="shared" si="34"/>
        <v>-9554</v>
      </c>
      <c r="H106" s="152">
        <f t="shared" si="35"/>
        <v>98.733459006440086</v>
      </c>
    </row>
    <row r="107" spans="1:8" s="20" customFormat="1" ht="27.75" customHeight="1" thickBot="1">
      <c r="A107" s="150" t="s">
        <v>326</v>
      </c>
      <c r="B107" s="51">
        <v>6099</v>
      </c>
      <c r="C107" s="201">
        <f>C99-C106</f>
        <v>0</v>
      </c>
      <c r="D107" s="201">
        <f>D99-D106</f>
        <v>0</v>
      </c>
      <c r="E107" s="201">
        <f>E99-E106</f>
        <v>0</v>
      </c>
      <c r="F107" s="201">
        <f>F99-F106</f>
        <v>0</v>
      </c>
      <c r="G107" s="302">
        <f t="shared" si="34"/>
        <v>0</v>
      </c>
      <c r="H107" s="152">
        <f t="shared" si="35"/>
        <v>0</v>
      </c>
    </row>
    <row r="108" spans="1:8" s="20" customFormat="1" ht="33" customHeight="1" thickBot="1">
      <c r="A108" s="385" t="s">
        <v>240</v>
      </c>
      <c r="B108" s="386"/>
      <c r="C108" s="386"/>
      <c r="D108" s="386"/>
      <c r="E108" s="386"/>
      <c r="F108" s="386"/>
      <c r="G108" s="386"/>
      <c r="H108" s="387"/>
    </row>
    <row r="109" spans="1:8" s="20" customFormat="1" ht="27.75" customHeight="1">
      <c r="A109" s="80" t="s">
        <v>281</v>
      </c>
      <c r="B109" s="81" t="s">
        <v>241</v>
      </c>
      <c r="C109" s="198">
        <f>SUM(C110:C112)</f>
        <v>1383</v>
      </c>
      <c r="D109" s="198">
        <f t="shared" ref="D109:F109" si="40">SUM(D110:D112)</f>
        <v>0</v>
      </c>
      <c r="E109" s="198">
        <f t="shared" si="40"/>
        <v>0</v>
      </c>
      <c r="F109" s="198">
        <f t="shared" si="40"/>
        <v>0</v>
      </c>
      <c r="G109" s="302">
        <f t="shared" ref="G109" si="41">IF(F109="(    )",0,F109)-IF(E109="(    )",0,E109)</f>
        <v>0</v>
      </c>
      <c r="H109" s="152">
        <f t="shared" ref="H109" si="42">IF(IF(E109="(    )",0,E109)=0,0,IF(F109="(    )",0,F109)/IF(E109="(    )",0,E109))*100</f>
        <v>0</v>
      </c>
    </row>
    <row r="110" spans="1:8" s="20" customFormat="1" ht="30" customHeight="1">
      <c r="A110" s="82" t="s">
        <v>295</v>
      </c>
      <c r="B110" s="83" t="s">
        <v>243</v>
      </c>
      <c r="C110" s="325"/>
      <c r="D110" s="197">
        <f>'6.1. Інша інфо_1'!$H$54</f>
        <v>0</v>
      </c>
      <c r="E110" s="197"/>
      <c r="F110" s="197">
        <f>'6.1. Інша інфо_1'!$H$54</f>
        <v>0</v>
      </c>
      <c r="G110" s="301">
        <f t="shared" ref="G110:G116" si="43">IF(F110="(    )",0,F110)-IF(E110="(    )",0,E110)</f>
        <v>0</v>
      </c>
      <c r="H110" s="151">
        <f t="shared" ref="H110:H116" si="44">IF(IF(E110="(    )",0,E110)=0,0,IF(F110="(    )",0,F110)/IF(E110="(    )",0,E110))*100</f>
        <v>0</v>
      </c>
    </row>
    <row r="111" spans="1:8" s="20" customFormat="1" ht="29.25" customHeight="1">
      <c r="A111" s="82" t="s">
        <v>296</v>
      </c>
      <c r="B111" s="83" t="s">
        <v>244</v>
      </c>
      <c r="C111" s="197">
        <v>1383</v>
      </c>
      <c r="D111" s="197">
        <f>'6.1. Інша інфо_1'!$H$58</f>
        <v>0</v>
      </c>
      <c r="E111" s="197"/>
      <c r="F111" s="197">
        <f>'6.1. Інша інфо_1'!$H$58</f>
        <v>0</v>
      </c>
      <c r="G111" s="302">
        <f t="shared" si="43"/>
        <v>0</v>
      </c>
      <c r="H111" s="151">
        <f t="shared" si="44"/>
        <v>0</v>
      </c>
    </row>
    <row r="112" spans="1:8" s="20" customFormat="1" ht="33" customHeight="1">
      <c r="A112" s="82" t="s">
        <v>297</v>
      </c>
      <c r="B112" s="83" t="s">
        <v>245</v>
      </c>
      <c r="C112" s="197"/>
      <c r="D112" s="197">
        <f>'6.1. Інша інфо_1'!$H$61</f>
        <v>0</v>
      </c>
      <c r="E112" s="197"/>
      <c r="F112" s="197">
        <f>'6.1. Інша інфо_1'!$H$61</f>
        <v>0</v>
      </c>
      <c r="G112" s="302">
        <f t="shared" si="43"/>
        <v>0</v>
      </c>
      <c r="H112" s="151">
        <f t="shared" si="44"/>
        <v>0</v>
      </c>
    </row>
    <row r="113" spans="1:8" s="20" customFormat="1" ht="27.75" customHeight="1">
      <c r="A113" s="80" t="s">
        <v>282</v>
      </c>
      <c r="B113" s="81" t="s">
        <v>242</v>
      </c>
      <c r="C113" s="198">
        <f>SUM(C114:C116)</f>
        <v>81754</v>
      </c>
      <c r="D113" s="198">
        <f t="shared" ref="D113:F113" si="45">SUM(D114:D116)</f>
        <v>3427</v>
      </c>
      <c r="E113" s="198">
        <f t="shared" si="45"/>
        <v>3446</v>
      </c>
      <c r="F113" s="198">
        <f t="shared" si="45"/>
        <v>3427</v>
      </c>
      <c r="G113" s="302">
        <f t="shared" si="43"/>
        <v>-19</v>
      </c>
      <c r="H113" s="152">
        <f t="shared" si="44"/>
        <v>99.448636099825876</v>
      </c>
    </row>
    <row r="114" spans="1:8" s="20" customFormat="1" ht="29.25" customHeight="1">
      <c r="A114" s="82" t="s">
        <v>295</v>
      </c>
      <c r="B114" s="83" t="s">
        <v>246</v>
      </c>
      <c r="C114" s="197">
        <v>76383</v>
      </c>
      <c r="D114" s="197">
        <f>'6.1. Інша інфо_1'!$L$54</f>
        <v>0</v>
      </c>
      <c r="E114" s="197">
        <f>'6.1. Інша інфо_1'!$J$54</f>
        <v>0</v>
      </c>
      <c r="F114" s="197">
        <f>'6.1. Інша інфо_1'!$L$54</f>
        <v>0</v>
      </c>
      <c r="G114" s="301">
        <f t="shared" si="43"/>
        <v>0</v>
      </c>
      <c r="H114" s="151">
        <f t="shared" si="44"/>
        <v>0</v>
      </c>
    </row>
    <row r="115" spans="1:8" s="20" customFormat="1" ht="28.5" customHeight="1">
      <c r="A115" s="82" t="s">
        <v>296</v>
      </c>
      <c r="B115" s="83" t="s">
        <v>247</v>
      </c>
      <c r="C115" s="197">
        <v>3230</v>
      </c>
      <c r="D115" s="197">
        <f>'6.1. Інша інфо_1'!$L$58</f>
        <v>1153</v>
      </c>
      <c r="E115" s="197">
        <f>'6.1. Інша інфо_1'!$J$58</f>
        <v>1153</v>
      </c>
      <c r="F115" s="197">
        <f>'6.1. Інша інфо_1'!$L$58</f>
        <v>1153</v>
      </c>
      <c r="G115" s="302">
        <f t="shared" si="43"/>
        <v>0</v>
      </c>
      <c r="H115" s="151">
        <f t="shared" si="44"/>
        <v>100</v>
      </c>
    </row>
    <row r="116" spans="1:8" s="20" customFormat="1" ht="26.25" customHeight="1" thickBot="1">
      <c r="A116" s="82" t="s">
        <v>297</v>
      </c>
      <c r="B116" s="83" t="s">
        <v>248</v>
      </c>
      <c r="C116" s="197">
        <v>2141</v>
      </c>
      <c r="D116" s="197">
        <f>'6.1. Інша інфо_1'!$L$61</f>
        <v>2274</v>
      </c>
      <c r="E116" s="197">
        <f>'6.1. Інша інфо_1'!$J$61</f>
        <v>2293</v>
      </c>
      <c r="F116" s="197">
        <f>'6.1. Інша інфо_1'!$L$61</f>
        <v>2274</v>
      </c>
      <c r="G116" s="302">
        <f t="shared" si="43"/>
        <v>-19</v>
      </c>
      <c r="H116" s="151">
        <f t="shared" si="44"/>
        <v>99.171391190580024</v>
      </c>
    </row>
    <row r="117" spans="1:8" s="20" customFormat="1" ht="26.25" customHeight="1" thickBot="1">
      <c r="A117" s="396" t="s">
        <v>249</v>
      </c>
      <c r="B117" s="397"/>
      <c r="C117" s="397"/>
      <c r="D117" s="397"/>
      <c r="E117" s="397"/>
      <c r="F117" s="397"/>
      <c r="G117" s="397"/>
      <c r="H117" s="398"/>
    </row>
    <row r="118" spans="1:8" s="20" customFormat="1" ht="64.5" customHeight="1">
      <c r="A118" s="75" t="s">
        <v>402</v>
      </c>
      <c r="B118" s="84" t="s">
        <v>250</v>
      </c>
      <c r="C118" s="192">
        <f>SUM(C119:C121)</f>
        <v>1429</v>
      </c>
      <c r="D118" s="192">
        <f>SUM(D119:D121)</f>
        <v>1407</v>
      </c>
      <c r="E118" s="192">
        <f>SUM(E119:E121)</f>
        <v>1729</v>
      </c>
      <c r="F118" s="192">
        <f>SUM(F119:F121)</f>
        <v>1407</v>
      </c>
      <c r="G118" s="302">
        <f t="shared" ref="G118" si="46">IF(F118="(    )",0,F118)-IF(E118="(    )",0,E118)</f>
        <v>-322</v>
      </c>
      <c r="H118" s="152">
        <f t="shared" ref="H118" si="47">IF(IF(E118="(    )",0,E118)=0,0,IF(F118="(    )",0,F118)/IF(E118="(    )",0,E118))*100</f>
        <v>81.376518218623488</v>
      </c>
    </row>
    <row r="119" spans="1:8" s="20" customFormat="1" ht="27" customHeight="1">
      <c r="A119" s="82" t="s">
        <v>156</v>
      </c>
      <c r="B119" s="83" t="s">
        <v>251</v>
      </c>
      <c r="C119" s="197">
        <f>'6.1. Інша інфо_1'!C11</f>
        <v>1</v>
      </c>
      <c r="D119" s="197">
        <f>'6.1. Інша інфо_1'!I11</f>
        <v>1</v>
      </c>
      <c r="E119" s="197">
        <f>'6.1. Інша інфо_1'!F11</f>
        <v>1</v>
      </c>
      <c r="F119" s="197">
        <f>'6.1. Інша інфо_1'!I11</f>
        <v>1</v>
      </c>
      <c r="G119" s="301">
        <f t="shared" ref="G119:G126" si="48">IF(F119="(    )",0,F119)-IF(E119="(    )",0,E119)</f>
        <v>0</v>
      </c>
      <c r="H119" s="151">
        <f t="shared" ref="H119:H126" si="49">IF(IF(E119="(    )",0,E119)=0,0,IF(F119="(    )",0,F119)/IF(E119="(    )",0,E119))*100</f>
        <v>100</v>
      </c>
    </row>
    <row r="120" spans="1:8" s="20" customFormat="1" ht="28.5" customHeight="1">
      <c r="A120" s="82" t="s">
        <v>155</v>
      </c>
      <c r="B120" s="83" t="s">
        <v>252</v>
      </c>
      <c r="C120" s="197">
        <f>'6.1. Інша інфо_1'!C12</f>
        <v>231</v>
      </c>
      <c r="D120" s="197">
        <f>'6.1. Інша інфо_1'!I12</f>
        <v>243</v>
      </c>
      <c r="E120" s="197">
        <f>'6.1. Інша інфо_1'!F12</f>
        <v>265</v>
      </c>
      <c r="F120" s="197">
        <f>'6.1. Інша інфо_1'!I12</f>
        <v>243</v>
      </c>
      <c r="G120" s="301">
        <f t="shared" si="48"/>
        <v>-22</v>
      </c>
      <c r="H120" s="151">
        <f t="shared" si="49"/>
        <v>91.698113207547166</v>
      </c>
    </row>
    <row r="121" spans="1:8" s="20" customFormat="1" ht="27" customHeight="1">
      <c r="A121" s="82" t="s">
        <v>157</v>
      </c>
      <c r="B121" s="83" t="s">
        <v>253</v>
      </c>
      <c r="C121" s="197">
        <f>'6.1. Інша інфо_1'!C13</f>
        <v>1197</v>
      </c>
      <c r="D121" s="197">
        <f>'6.1. Інша інфо_1'!I13</f>
        <v>1163</v>
      </c>
      <c r="E121" s="197">
        <f>'6.1. Інша інфо_1'!F13</f>
        <v>1463</v>
      </c>
      <c r="F121" s="197">
        <f>'6.1. Інша інфо_1'!I13</f>
        <v>1163</v>
      </c>
      <c r="G121" s="301">
        <f t="shared" si="48"/>
        <v>-300</v>
      </c>
      <c r="H121" s="151">
        <f t="shared" si="49"/>
        <v>79.494190020505812</v>
      </c>
    </row>
    <row r="122" spans="1:8" s="20" customFormat="1" ht="27.75" customHeight="1">
      <c r="A122" s="80" t="s">
        <v>5</v>
      </c>
      <c r="B122" s="81" t="s">
        <v>254</v>
      </c>
      <c r="C122" s="198">
        <f>C54</f>
        <v>295325</v>
      </c>
      <c r="D122" s="198">
        <f t="shared" ref="D122:F122" si="50">D54</f>
        <v>365924</v>
      </c>
      <c r="E122" s="198">
        <f t="shared" si="50"/>
        <v>408816</v>
      </c>
      <c r="F122" s="198">
        <f t="shared" si="50"/>
        <v>365924</v>
      </c>
      <c r="G122" s="302">
        <f t="shared" si="48"/>
        <v>-42892</v>
      </c>
      <c r="H122" s="152">
        <f t="shared" si="49"/>
        <v>89.508238425110562</v>
      </c>
    </row>
    <row r="123" spans="1:8" s="20" customFormat="1" ht="44.25" customHeight="1">
      <c r="A123" s="75" t="s">
        <v>413</v>
      </c>
      <c r="B123" s="84" t="s">
        <v>255</v>
      </c>
      <c r="C123" s="192">
        <f>'6.1. Інша інфо_1'!C22</f>
        <v>17222</v>
      </c>
      <c r="D123" s="192">
        <f>'6.1. Інша інфо_1'!I22</f>
        <v>21673</v>
      </c>
      <c r="E123" s="192">
        <f>'6.1. Інша інфо_1'!F22</f>
        <v>19704</v>
      </c>
      <c r="F123" s="302">
        <f>'6.1. Інша інфо_1'!I22</f>
        <v>21673</v>
      </c>
      <c r="G123" s="302">
        <f t="shared" si="48"/>
        <v>1969</v>
      </c>
      <c r="H123" s="88">
        <f t="shared" si="49"/>
        <v>109.99289484368656</v>
      </c>
    </row>
    <row r="124" spans="1:8" s="20" customFormat="1" ht="28.5" customHeight="1">
      <c r="A124" s="82" t="s">
        <v>156</v>
      </c>
      <c r="B124" s="83" t="s">
        <v>256</v>
      </c>
      <c r="C124" s="197">
        <f>'6.1. Інша інфо_1'!C23</f>
        <v>140500</v>
      </c>
      <c r="D124" s="197">
        <f>'6.1. Інша інфо_1'!I23</f>
        <v>95500</v>
      </c>
      <c r="E124" s="197">
        <f>'6.1. Інша інфо_1'!F23</f>
        <v>149417</v>
      </c>
      <c r="F124" s="196">
        <f>'6.1. Інша інфо_1'!I23</f>
        <v>95500</v>
      </c>
      <c r="G124" s="301">
        <f t="shared" si="48"/>
        <v>-53917</v>
      </c>
      <c r="H124" s="87">
        <f t="shared" si="49"/>
        <v>63.915083290388644</v>
      </c>
    </row>
    <row r="125" spans="1:8" s="20" customFormat="1" ht="30" customHeight="1">
      <c r="A125" s="82" t="s">
        <v>155</v>
      </c>
      <c r="B125" s="83" t="s">
        <v>257</v>
      </c>
      <c r="C125" s="197">
        <f>'6.1. Інша інфо_1'!C24</f>
        <v>22916</v>
      </c>
      <c r="D125" s="197">
        <f>'6.1. Інша інфо_1'!I24</f>
        <v>27746</v>
      </c>
      <c r="E125" s="197">
        <f>'6.1. Інша інфо_1'!F24</f>
        <v>27716</v>
      </c>
      <c r="F125" s="196">
        <f>'6.1. Інша інфо_1'!I24</f>
        <v>27746</v>
      </c>
      <c r="G125" s="301">
        <f t="shared" si="48"/>
        <v>30</v>
      </c>
      <c r="H125" s="87">
        <f t="shared" si="49"/>
        <v>100.10824072737769</v>
      </c>
    </row>
    <row r="126" spans="1:8" s="20" customFormat="1" ht="33" customHeight="1">
      <c r="A126" s="82" t="s">
        <v>157</v>
      </c>
      <c r="B126" s="81" t="s">
        <v>258</v>
      </c>
      <c r="C126" s="197">
        <f>'6.1. Інша інфо_1'!C25</f>
        <v>16020</v>
      </c>
      <c r="D126" s="197">
        <f>'6.1. Інша інфо_1'!I25</f>
        <v>20340</v>
      </c>
      <c r="E126" s="197">
        <f>'6.1. Інша інфо_1'!F25</f>
        <v>18164</v>
      </c>
      <c r="F126" s="196">
        <f>'6.1. Інша інфо_1'!I25</f>
        <v>20340</v>
      </c>
      <c r="G126" s="301">
        <f t="shared" si="48"/>
        <v>2176</v>
      </c>
      <c r="H126" s="87">
        <f t="shared" si="49"/>
        <v>111.97974014534245</v>
      </c>
    </row>
    <row r="127" spans="1:8" s="20" customFormat="1" ht="33" customHeight="1">
      <c r="A127" s="108"/>
      <c r="B127" s="109"/>
      <c r="C127" s="110"/>
      <c r="D127" s="110"/>
      <c r="E127" s="110"/>
      <c r="F127" s="111"/>
      <c r="G127" s="111"/>
      <c r="H127" s="112"/>
    </row>
    <row r="128" spans="1:8" s="20" customFormat="1" ht="33" customHeight="1">
      <c r="A128" s="108"/>
      <c r="B128" s="109"/>
      <c r="C128" s="110"/>
      <c r="D128" s="110"/>
      <c r="E128" s="110"/>
      <c r="F128" s="111"/>
      <c r="G128" s="111"/>
      <c r="H128" s="112"/>
    </row>
    <row r="129" spans="1:9" s="20" customFormat="1" ht="33" customHeight="1">
      <c r="A129" s="108"/>
      <c r="B129" s="109"/>
      <c r="C129" s="110"/>
      <c r="D129" s="110"/>
      <c r="E129" s="110"/>
      <c r="F129" s="111"/>
      <c r="G129" s="111"/>
      <c r="H129" s="112"/>
    </row>
    <row r="130" spans="1:9" s="52" customFormat="1" ht="31.2" customHeight="1">
      <c r="A130" s="405" t="s">
        <v>523</v>
      </c>
      <c r="B130" s="405"/>
      <c r="C130" s="406" t="s">
        <v>80</v>
      </c>
      <c r="D130" s="406"/>
      <c r="E130" s="406"/>
      <c r="F130" s="171"/>
      <c r="G130" s="299" t="s">
        <v>524</v>
      </c>
      <c r="H130" s="309"/>
      <c r="I130" s="299"/>
    </row>
    <row r="131" spans="1:9" s="106" customFormat="1" ht="20.100000000000001" hidden="1" customHeight="1">
      <c r="A131" s="281" t="s">
        <v>65</v>
      </c>
      <c r="C131" s="395" t="s">
        <v>66</v>
      </c>
      <c r="D131" s="395"/>
      <c r="E131" s="395"/>
      <c r="F131" s="395"/>
      <c r="G131" s="394" t="s">
        <v>77</v>
      </c>
      <c r="H131" s="394"/>
      <c r="I131" s="281"/>
    </row>
    <row r="132" spans="1:9">
      <c r="A132" s="104"/>
    </row>
    <row r="133" spans="1:9">
      <c r="A133" s="104"/>
    </row>
    <row r="134" spans="1:9">
      <c r="A134" s="104"/>
    </row>
    <row r="135" spans="1:9">
      <c r="A135" s="104"/>
    </row>
    <row r="136" spans="1:9">
      <c r="A136" s="104"/>
    </row>
    <row r="137" spans="1:9">
      <c r="A137" s="104"/>
    </row>
    <row r="138" spans="1:9">
      <c r="A138" s="104"/>
    </row>
    <row r="139" spans="1:9">
      <c r="A139" s="104"/>
    </row>
    <row r="140" spans="1:9">
      <c r="A140" s="104"/>
    </row>
    <row r="141" spans="1:9">
      <c r="A141" s="104"/>
    </row>
    <row r="142" spans="1:9">
      <c r="A142" s="104"/>
    </row>
    <row r="143" spans="1:9">
      <c r="A143" s="104"/>
    </row>
    <row r="144" spans="1:9">
      <c r="A144" s="104"/>
    </row>
    <row r="145" spans="1:1">
      <c r="A145" s="104"/>
    </row>
    <row r="146" spans="1:1">
      <c r="A146" s="104"/>
    </row>
    <row r="147" spans="1:1">
      <c r="A147" s="104"/>
    </row>
    <row r="148" spans="1:1">
      <c r="A148" s="104"/>
    </row>
    <row r="149" spans="1:1">
      <c r="A149" s="104"/>
    </row>
    <row r="150" spans="1:1">
      <c r="A150" s="104"/>
    </row>
    <row r="151" spans="1:1">
      <c r="A151" s="104"/>
    </row>
    <row r="152" spans="1:1">
      <c r="A152" s="104"/>
    </row>
    <row r="153" spans="1:1">
      <c r="A153" s="104"/>
    </row>
    <row r="154" spans="1:1">
      <c r="A154" s="104"/>
    </row>
    <row r="155" spans="1:1">
      <c r="A155" s="104"/>
    </row>
    <row r="156" spans="1:1">
      <c r="A156" s="104"/>
    </row>
    <row r="157" spans="1:1">
      <c r="A157" s="104"/>
    </row>
    <row r="158" spans="1:1">
      <c r="A158" s="104"/>
    </row>
    <row r="159" spans="1:1">
      <c r="A159" s="104"/>
    </row>
    <row r="160" spans="1:1">
      <c r="A160" s="104"/>
    </row>
    <row r="161" spans="1:1">
      <c r="A161" s="104"/>
    </row>
    <row r="162" spans="1:1">
      <c r="A162" s="104"/>
    </row>
    <row r="163" spans="1:1">
      <c r="A163" s="104"/>
    </row>
    <row r="164" spans="1:1">
      <c r="A164" s="104"/>
    </row>
    <row r="165" spans="1:1">
      <c r="A165" s="104"/>
    </row>
    <row r="166" spans="1:1">
      <c r="A166" s="104"/>
    </row>
    <row r="167" spans="1:1">
      <c r="A167" s="104"/>
    </row>
    <row r="168" spans="1:1">
      <c r="A168" s="104"/>
    </row>
    <row r="169" spans="1:1">
      <c r="A169" s="104"/>
    </row>
    <row r="170" spans="1:1">
      <c r="A170" s="104"/>
    </row>
    <row r="171" spans="1:1">
      <c r="A171" s="104"/>
    </row>
    <row r="172" spans="1:1">
      <c r="A172" s="104"/>
    </row>
    <row r="173" spans="1:1">
      <c r="A173" s="104"/>
    </row>
    <row r="174" spans="1:1">
      <c r="A174" s="104"/>
    </row>
    <row r="175" spans="1:1">
      <c r="A175" s="104"/>
    </row>
    <row r="176" spans="1:1">
      <c r="A176" s="104"/>
    </row>
    <row r="177" spans="1:1">
      <c r="A177" s="104"/>
    </row>
    <row r="178" spans="1:1">
      <c r="A178" s="104"/>
    </row>
    <row r="179" spans="1:1">
      <c r="A179" s="104"/>
    </row>
    <row r="180" spans="1:1">
      <c r="A180" s="104"/>
    </row>
    <row r="181" spans="1:1">
      <c r="A181" s="104"/>
    </row>
    <row r="182" spans="1:1">
      <c r="A182" s="104"/>
    </row>
    <row r="183" spans="1:1">
      <c r="A183" s="104"/>
    </row>
    <row r="184" spans="1:1">
      <c r="A184" s="104"/>
    </row>
    <row r="185" spans="1:1">
      <c r="A185" s="104"/>
    </row>
    <row r="186" spans="1:1">
      <c r="A186" s="104"/>
    </row>
    <row r="187" spans="1:1">
      <c r="A187" s="104"/>
    </row>
    <row r="188" spans="1:1">
      <c r="A188" s="104"/>
    </row>
    <row r="189" spans="1:1">
      <c r="A189" s="104"/>
    </row>
    <row r="190" spans="1:1">
      <c r="A190" s="104"/>
    </row>
    <row r="191" spans="1:1">
      <c r="A191" s="104"/>
    </row>
    <row r="192" spans="1:1">
      <c r="A192" s="104"/>
    </row>
    <row r="193" spans="1:1">
      <c r="A193" s="104"/>
    </row>
    <row r="194" spans="1:1">
      <c r="A194" s="104"/>
    </row>
    <row r="195" spans="1:1">
      <c r="A195" s="104"/>
    </row>
    <row r="196" spans="1:1">
      <c r="A196" s="104"/>
    </row>
    <row r="197" spans="1:1">
      <c r="A197" s="104"/>
    </row>
    <row r="198" spans="1:1">
      <c r="A198" s="104"/>
    </row>
    <row r="199" spans="1:1">
      <c r="A199" s="104"/>
    </row>
    <row r="200" spans="1:1">
      <c r="A200" s="104"/>
    </row>
    <row r="201" spans="1:1">
      <c r="A201" s="104"/>
    </row>
    <row r="202" spans="1:1">
      <c r="A202" s="104"/>
    </row>
    <row r="203" spans="1:1">
      <c r="A203" s="104"/>
    </row>
    <row r="204" spans="1:1">
      <c r="A204" s="104"/>
    </row>
    <row r="205" spans="1:1">
      <c r="A205" s="104"/>
    </row>
    <row r="206" spans="1:1">
      <c r="A206" s="104"/>
    </row>
    <row r="207" spans="1:1">
      <c r="A207" s="104"/>
    </row>
    <row r="208" spans="1:1">
      <c r="A208" s="104"/>
    </row>
    <row r="209" spans="1:1">
      <c r="A209" s="104"/>
    </row>
    <row r="210" spans="1:1">
      <c r="A210" s="104"/>
    </row>
    <row r="211" spans="1:1">
      <c r="A211" s="104"/>
    </row>
    <row r="212" spans="1:1">
      <c r="A212" s="104"/>
    </row>
    <row r="213" spans="1:1">
      <c r="A213" s="104"/>
    </row>
    <row r="214" spans="1:1">
      <c r="A214" s="104"/>
    </row>
    <row r="215" spans="1:1">
      <c r="A215" s="104"/>
    </row>
    <row r="216" spans="1:1">
      <c r="A216" s="104"/>
    </row>
    <row r="217" spans="1:1">
      <c r="A217" s="104"/>
    </row>
    <row r="218" spans="1:1">
      <c r="A218" s="104"/>
    </row>
    <row r="219" spans="1:1">
      <c r="A219" s="104"/>
    </row>
    <row r="220" spans="1:1">
      <c r="A220" s="104"/>
    </row>
    <row r="221" spans="1:1">
      <c r="A221" s="104"/>
    </row>
    <row r="222" spans="1:1">
      <c r="A222" s="104"/>
    </row>
    <row r="223" spans="1:1">
      <c r="A223" s="104"/>
    </row>
    <row r="224" spans="1:1">
      <c r="A224" s="104"/>
    </row>
    <row r="225" spans="1:1">
      <c r="A225" s="104"/>
    </row>
    <row r="226" spans="1:1">
      <c r="A226" s="104"/>
    </row>
    <row r="227" spans="1:1">
      <c r="A227" s="104"/>
    </row>
    <row r="228" spans="1:1">
      <c r="A228" s="104"/>
    </row>
    <row r="229" spans="1:1">
      <c r="A229" s="104"/>
    </row>
    <row r="230" spans="1:1">
      <c r="A230" s="104"/>
    </row>
    <row r="231" spans="1:1">
      <c r="A231" s="104"/>
    </row>
    <row r="232" spans="1:1">
      <c r="A232" s="104"/>
    </row>
    <row r="233" spans="1:1">
      <c r="A233" s="104"/>
    </row>
    <row r="234" spans="1:1">
      <c r="A234" s="104"/>
    </row>
    <row r="235" spans="1:1">
      <c r="A235" s="104"/>
    </row>
    <row r="236" spans="1:1">
      <c r="A236" s="104"/>
    </row>
    <row r="237" spans="1:1">
      <c r="A237" s="104"/>
    </row>
    <row r="238" spans="1:1">
      <c r="A238" s="104"/>
    </row>
    <row r="239" spans="1:1">
      <c r="A239" s="104"/>
    </row>
    <row r="240" spans="1:1">
      <c r="A240" s="104"/>
    </row>
    <row r="241" spans="1:1">
      <c r="A241" s="104"/>
    </row>
    <row r="242" spans="1:1">
      <c r="A242" s="104"/>
    </row>
    <row r="243" spans="1:1">
      <c r="A243" s="104"/>
    </row>
    <row r="244" spans="1:1">
      <c r="A244" s="104"/>
    </row>
    <row r="245" spans="1:1">
      <c r="A245" s="104"/>
    </row>
    <row r="246" spans="1:1">
      <c r="A246" s="104"/>
    </row>
    <row r="247" spans="1:1">
      <c r="A247" s="104"/>
    </row>
    <row r="248" spans="1:1">
      <c r="A248" s="104"/>
    </row>
    <row r="249" spans="1:1">
      <c r="A249" s="104"/>
    </row>
    <row r="250" spans="1:1">
      <c r="A250" s="104"/>
    </row>
    <row r="251" spans="1:1">
      <c r="A251" s="104"/>
    </row>
    <row r="252" spans="1:1">
      <c r="A252" s="104"/>
    </row>
    <row r="253" spans="1:1">
      <c r="A253" s="104"/>
    </row>
    <row r="254" spans="1:1">
      <c r="A254" s="104"/>
    </row>
    <row r="255" spans="1:1">
      <c r="A255" s="104"/>
    </row>
    <row r="256" spans="1:1">
      <c r="A256" s="104"/>
    </row>
    <row r="257" spans="1:1">
      <c r="A257" s="104"/>
    </row>
    <row r="258" spans="1:1">
      <c r="A258" s="104"/>
    </row>
    <row r="259" spans="1:1">
      <c r="A259" s="104"/>
    </row>
    <row r="260" spans="1:1">
      <c r="A260" s="104"/>
    </row>
    <row r="261" spans="1:1">
      <c r="A261" s="104"/>
    </row>
    <row r="262" spans="1:1">
      <c r="A262" s="104"/>
    </row>
    <row r="263" spans="1:1">
      <c r="A263" s="104"/>
    </row>
    <row r="264" spans="1:1">
      <c r="A264" s="104"/>
    </row>
    <row r="265" spans="1:1">
      <c r="A265" s="104"/>
    </row>
    <row r="266" spans="1:1">
      <c r="A266" s="104"/>
    </row>
    <row r="267" spans="1:1">
      <c r="A267" s="104"/>
    </row>
    <row r="268" spans="1:1">
      <c r="A268" s="104"/>
    </row>
    <row r="269" spans="1:1">
      <c r="A269" s="104"/>
    </row>
    <row r="270" spans="1:1">
      <c r="A270" s="104"/>
    </row>
    <row r="271" spans="1:1">
      <c r="A271" s="104"/>
    </row>
    <row r="272" spans="1:1">
      <c r="A272" s="104"/>
    </row>
    <row r="273" spans="1:1">
      <c r="A273" s="104"/>
    </row>
    <row r="274" spans="1:1">
      <c r="A274" s="104"/>
    </row>
    <row r="275" spans="1:1">
      <c r="A275" s="104"/>
    </row>
    <row r="276" spans="1:1">
      <c r="A276" s="104"/>
    </row>
    <row r="277" spans="1:1">
      <c r="A277" s="104"/>
    </row>
    <row r="278" spans="1:1">
      <c r="A278" s="104"/>
    </row>
    <row r="279" spans="1:1">
      <c r="A279" s="104"/>
    </row>
    <row r="280" spans="1:1">
      <c r="A280" s="104"/>
    </row>
    <row r="281" spans="1:1">
      <c r="A281" s="104"/>
    </row>
    <row r="282" spans="1:1">
      <c r="A282" s="104"/>
    </row>
    <row r="283" spans="1:1">
      <c r="A283" s="104"/>
    </row>
    <row r="284" spans="1:1">
      <c r="A284" s="104"/>
    </row>
    <row r="285" spans="1:1">
      <c r="A285" s="104"/>
    </row>
    <row r="286" spans="1:1">
      <c r="A286" s="104"/>
    </row>
    <row r="287" spans="1:1">
      <c r="A287" s="104"/>
    </row>
    <row r="288" spans="1:1">
      <c r="A288" s="104"/>
    </row>
    <row r="289" spans="1:1">
      <c r="A289" s="104"/>
    </row>
    <row r="290" spans="1:1">
      <c r="A290" s="105"/>
    </row>
    <row r="291" spans="1:1">
      <c r="A291" s="105"/>
    </row>
    <row r="292" spans="1:1">
      <c r="A292" s="105"/>
    </row>
    <row r="293" spans="1:1">
      <c r="A293" s="105"/>
    </row>
    <row r="294" spans="1:1">
      <c r="A294" s="105"/>
    </row>
    <row r="295" spans="1:1">
      <c r="A295" s="105"/>
    </row>
    <row r="296" spans="1:1">
      <c r="A296" s="105"/>
    </row>
    <row r="297" spans="1:1">
      <c r="A297" s="105"/>
    </row>
    <row r="298" spans="1:1">
      <c r="A298" s="105"/>
    </row>
    <row r="299" spans="1:1">
      <c r="A299" s="105"/>
    </row>
    <row r="300" spans="1:1">
      <c r="A300" s="105"/>
    </row>
    <row r="301" spans="1:1">
      <c r="A301" s="105"/>
    </row>
    <row r="302" spans="1:1">
      <c r="A302" s="105"/>
    </row>
    <row r="303" spans="1:1">
      <c r="A303" s="105"/>
    </row>
    <row r="304" spans="1:1">
      <c r="A304" s="105"/>
    </row>
    <row r="305" spans="1:1">
      <c r="A305" s="105"/>
    </row>
    <row r="306" spans="1:1">
      <c r="A306" s="105"/>
    </row>
    <row r="307" spans="1:1">
      <c r="A307" s="105"/>
    </row>
    <row r="308" spans="1:1">
      <c r="A308" s="105"/>
    </row>
    <row r="309" spans="1:1">
      <c r="A309" s="105"/>
    </row>
    <row r="310" spans="1:1">
      <c r="A310" s="105"/>
    </row>
    <row r="311" spans="1:1">
      <c r="A311" s="105"/>
    </row>
    <row r="312" spans="1:1">
      <c r="A312" s="105"/>
    </row>
    <row r="313" spans="1:1">
      <c r="A313" s="105"/>
    </row>
    <row r="314" spans="1:1">
      <c r="A314" s="105"/>
    </row>
    <row r="315" spans="1:1">
      <c r="A315" s="105"/>
    </row>
    <row r="316" spans="1:1">
      <c r="A316" s="105"/>
    </row>
    <row r="317" spans="1:1">
      <c r="A317" s="105"/>
    </row>
    <row r="318" spans="1:1">
      <c r="A318" s="105"/>
    </row>
    <row r="319" spans="1:1">
      <c r="A319" s="105"/>
    </row>
    <row r="320" spans="1:1">
      <c r="A320" s="105"/>
    </row>
    <row r="321" spans="1:1">
      <c r="A321" s="105"/>
    </row>
    <row r="322" spans="1:1">
      <c r="A322" s="105"/>
    </row>
    <row r="323" spans="1:1">
      <c r="A323" s="105"/>
    </row>
    <row r="324" spans="1:1">
      <c r="A324" s="105"/>
    </row>
    <row r="325" spans="1:1">
      <c r="A325" s="105"/>
    </row>
    <row r="326" spans="1:1">
      <c r="A326" s="105"/>
    </row>
    <row r="327" spans="1:1">
      <c r="A327" s="105"/>
    </row>
    <row r="328" spans="1:1">
      <c r="A328" s="105"/>
    </row>
    <row r="329" spans="1:1">
      <c r="A329" s="105"/>
    </row>
    <row r="330" spans="1:1">
      <c r="A330" s="105"/>
    </row>
    <row r="331" spans="1:1">
      <c r="A331" s="105"/>
    </row>
    <row r="332" spans="1:1">
      <c r="A332" s="105"/>
    </row>
    <row r="333" spans="1:1">
      <c r="A333" s="105"/>
    </row>
    <row r="334" spans="1:1">
      <c r="A334" s="105"/>
    </row>
    <row r="335" spans="1:1">
      <c r="A335" s="105"/>
    </row>
    <row r="336" spans="1:1">
      <c r="A336" s="105"/>
    </row>
    <row r="337" spans="1:1">
      <c r="A337" s="105"/>
    </row>
    <row r="338" spans="1:1">
      <c r="A338" s="105"/>
    </row>
    <row r="339" spans="1:1">
      <c r="A339" s="105"/>
    </row>
    <row r="340" spans="1:1">
      <c r="A340" s="105"/>
    </row>
    <row r="341" spans="1:1">
      <c r="A341" s="105"/>
    </row>
    <row r="342" spans="1:1">
      <c r="A342" s="105"/>
    </row>
    <row r="343" spans="1:1">
      <c r="A343" s="105"/>
    </row>
    <row r="344" spans="1:1">
      <c r="A344" s="105"/>
    </row>
    <row r="345" spans="1:1">
      <c r="A345" s="105"/>
    </row>
    <row r="346" spans="1:1">
      <c r="A346" s="105"/>
    </row>
    <row r="347" spans="1:1">
      <c r="A347" s="105"/>
    </row>
    <row r="348" spans="1:1">
      <c r="A348" s="105"/>
    </row>
    <row r="349" spans="1:1">
      <c r="A349" s="105"/>
    </row>
    <row r="350" spans="1:1">
      <c r="A350" s="105"/>
    </row>
    <row r="351" spans="1:1">
      <c r="A351" s="105"/>
    </row>
    <row r="352" spans="1:1">
      <c r="A352" s="105"/>
    </row>
    <row r="353" spans="1:1">
      <c r="A353" s="105"/>
    </row>
    <row r="354" spans="1:1">
      <c r="A354" s="105"/>
    </row>
    <row r="355" spans="1:1">
      <c r="A355" s="105"/>
    </row>
    <row r="356" spans="1:1">
      <c r="A356" s="105"/>
    </row>
    <row r="357" spans="1:1">
      <c r="A357" s="105"/>
    </row>
    <row r="358" spans="1:1">
      <c r="A358" s="105"/>
    </row>
    <row r="359" spans="1:1">
      <c r="A359" s="105"/>
    </row>
    <row r="360" spans="1:1">
      <c r="A360" s="105"/>
    </row>
    <row r="361" spans="1:1">
      <c r="A361" s="105"/>
    </row>
    <row r="362" spans="1:1">
      <c r="A362" s="105"/>
    </row>
    <row r="363" spans="1:1">
      <c r="A363" s="105"/>
    </row>
    <row r="364" spans="1:1">
      <c r="A364" s="105"/>
    </row>
    <row r="365" spans="1:1">
      <c r="A365" s="105"/>
    </row>
    <row r="366" spans="1:1">
      <c r="A366" s="105"/>
    </row>
    <row r="367" spans="1:1">
      <c r="A367" s="105"/>
    </row>
    <row r="368" spans="1:1">
      <c r="A368" s="105"/>
    </row>
    <row r="369" spans="1:1">
      <c r="A369" s="105"/>
    </row>
    <row r="370" spans="1:1">
      <c r="A370" s="105"/>
    </row>
    <row r="371" spans="1:1">
      <c r="A371" s="105"/>
    </row>
    <row r="372" spans="1:1">
      <c r="A372" s="105"/>
    </row>
    <row r="373" spans="1:1">
      <c r="A373" s="105"/>
    </row>
    <row r="374" spans="1:1">
      <c r="A374" s="105"/>
    </row>
    <row r="375" spans="1:1">
      <c r="A375" s="105"/>
    </row>
    <row r="376" spans="1:1">
      <c r="A376" s="105"/>
    </row>
    <row r="377" spans="1:1">
      <c r="A377" s="105"/>
    </row>
    <row r="378" spans="1:1">
      <c r="A378" s="105"/>
    </row>
    <row r="379" spans="1:1">
      <c r="A379" s="105"/>
    </row>
    <row r="380" spans="1:1">
      <c r="A380" s="105"/>
    </row>
    <row r="381" spans="1:1">
      <c r="A381" s="105"/>
    </row>
    <row r="382" spans="1:1">
      <c r="A382" s="105"/>
    </row>
    <row r="383" spans="1:1">
      <c r="A383" s="105"/>
    </row>
    <row r="384" spans="1:1">
      <c r="A384" s="105"/>
    </row>
    <row r="385" spans="1:1">
      <c r="A385" s="105"/>
    </row>
    <row r="386" spans="1:1">
      <c r="A386" s="105"/>
    </row>
    <row r="387" spans="1:1">
      <c r="A387" s="105"/>
    </row>
    <row r="388" spans="1:1">
      <c r="A388" s="105"/>
    </row>
    <row r="389" spans="1:1">
      <c r="A389" s="105"/>
    </row>
    <row r="390" spans="1:1">
      <c r="A390" s="105"/>
    </row>
    <row r="391" spans="1:1">
      <c r="A391" s="105"/>
    </row>
    <row r="392" spans="1:1">
      <c r="A392" s="105"/>
    </row>
    <row r="393" spans="1:1">
      <c r="A393" s="105"/>
    </row>
    <row r="394" spans="1:1">
      <c r="A394" s="105"/>
    </row>
    <row r="395" spans="1:1">
      <c r="A395" s="105"/>
    </row>
    <row r="396" spans="1:1">
      <c r="A396" s="105"/>
    </row>
    <row r="397" spans="1:1">
      <c r="A397" s="105"/>
    </row>
    <row r="398" spans="1:1">
      <c r="A398" s="105"/>
    </row>
    <row r="399" spans="1:1">
      <c r="A399" s="105"/>
    </row>
    <row r="400" spans="1:1">
      <c r="A400" s="105"/>
    </row>
    <row r="401" spans="1:1">
      <c r="A401" s="105"/>
    </row>
    <row r="402" spans="1:1">
      <c r="A402" s="105"/>
    </row>
    <row r="403" spans="1:1">
      <c r="A403" s="105"/>
    </row>
    <row r="404" spans="1:1">
      <c r="A404" s="105"/>
    </row>
    <row r="405" spans="1:1">
      <c r="A405" s="105"/>
    </row>
    <row r="406" spans="1:1">
      <c r="A406" s="105"/>
    </row>
    <row r="407" spans="1:1">
      <c r="A407" s="105"/>
    </row>
    <row r="408" spans="1:1">
      <c r="A408" s="105"/>
    </row>
    <row r="409" spans="1:1">
      <c r="A409" s="105"/>
    </row>
    <row r="410" spans="1:1">
      <c r="A410" s="105"/>
    </row>
    <row r="411" spans="1:1">
      <c r="A411" s="105"/>
    </row>
    <row r="412" spans="1:1">
      <c r="A412" s="105"/>
    </row>
    <row r="413" spans="1:1">
      <c r="A413" s="105"/>
    </row>
    <row r="414" spans="1:1">
      <c r="A414" s="105"/>
    </row>
    <row r="415" spans="1:1">
      <c r="A415" s="105"/>
    </row>
    <row r="416" spans="1:1">
      <c r="A416" s="105"/>
    </row>
    <row r="417" spans="1:1">
      <c r="A417" s="105"/>
    </row>
    <row r="418" spans="1:1">
      <c r="A418" s="105"/>
    </row>
    <row r="419" spans="1:1">
      <c r="A419" s="105"/>
    </row>
    <row r="420" spans="1:1">
      <c r="A420" s="105"/>
    </row>
    <row r="421" spans="1:1">
      <c r="A421" s="105"/>
    </row>
    <row r="422" spans="1:1">
      <c r="A422" s="105"/>
    </row>
    <row r="423" spans="1:1">
      <c r="A423" s="105"/>
    </row>
    <row r="424" spans="1:1">
      <c r="A424" s="105"/>
    </row>
    <row r="425" spans="1:1">
      <c r="A425" s="105"/>
    </row>
    <row r="426" spans="1:1">
      <c r="A426" s="105"/>
    </row>
    <row r="427" spans="1:1">
      <c r="A427" s="105"/>
    </row>
    <row r="428" spans="1:1">
      <c r="A428" s="105"/>
    </row>
    <row r="429" spans="1:1">
      <c r="A429" s="105"/>
    </row>
    <row r="430" spans="1:1">
      <c r="A430" s="105"/>
    </row>
    <row r="431" spans="1:1">
      <c r="A431" s="105"/>
    </row>
    <row r="432" spans="1:1">
      <c r="A432" s="105"/>
    </row>
    <row r="433" spans="1:1">
      <c r="A433" s="105"/>
    </row>
    <row r="434" spans="1:1">
      <c r="A434" s="105"/>
    </row>
    <row r="435" spans="1:1">
      <c r="A435" s="105"/>
    </row>
    <row r="436" spans="1:1">
      <c r="A436" s="105"/>
    </row>
    <row r="437" spans="1:1">
      <c r="A437" s="105"/>
    </row>
    <row r="438" spans="1:1">
      <c r="A438" s="105"/>
    </row>
    <row r="439" spans="1:1">
      <c r="A439" s="105"/>
    </row>
    <row r="440" spans="1:1">
      <c r="A440" s="105"/>
    </row>
    <row r="441" spans="1:1">
      <c r="A441" s="105"/>
    </row>
    <row r="442" spans="1:1">
      <c r="A442" s="105"/>
    </row>
    <row r="443" spans="1:1">
      <c r="A443" s="105"/>
    </row>
    <row r="444" spans="1:1">
      <c r="A444" s="105"/>
    </row>
    <row r="445" spans="1:1">
      <c r="A445" s="105"/>
    </row>
    <row r="446" spans="1:1">
      <c r="A446" s="105"/>
    </row>
    <row r="447" spans="1:1">
      <c r="A447" s="105"/>
    </row>
    <row r="448" spans="1:1">
      <c r="A448" s="105"/>
    </row>
    <row r="449" spans="1:1">
      <c r="A449" s="105"/>
    </row>
    <row r="450" spans="1:1">
      <c r="A450" s="105"/>
    </row>
    <row r="451" spans="1:1">
      <c r="A451" s="105"/>
    </row>
    <row r="452" spans="1:1">
      <c r="A452" s="105"/>
    </row>
    <row r="453" spans="1:1">
      <c r="A453" s="105"/>
    </row>
    <row r="454" spans="1:1">
      <c r="A454" s="105"/>
    </row>
    <row r="455" spans="1:1">
      <c r="A455" s="105"/>
    </row>
  </sheetData>
  <mergeCells count="34">
    <mergeCell ref="B9:C9"/>
    <mergeCell ref="B11:F11"/>
    <mergeCell ref="B12:F12"/>
    <mergeCell ref="B13:F13"/>
    <mergeCell ref="B1:E1"/>
    <mergeCell ref="B2:F2"/>
    <mergeCell ref="B3:F3"/>
    <mergeCell ref="B4:F4"/>
    <mergeCell ref="B5:F5"/>
    <mergeCell ref="B6:F6"/>
    <mergeCell ref="B7:D7"/>
    <mergeCell ref="B10:E10"/>
    <mergeCell ref="G131:H131"/>
    <mergeCell ref="C131:F131"/>
    <mergeCell ref="A117:H117"/>
    <mergeCell ref="A65:H65"/>
    <mergeCell ref="A73:H73"/>
    <mergeCell ref="A86:H86"/>
    <mergeCell ref="A130:B130"/>
    <mergeCell ref="C130:E130"/>
    <mergeCell ref="A92:H92"/>
    <mergeCell ref="A108:H108"/>
    <mergeCell ref="A15:H15"/>
    <mergeCell ref="A21:A22"/>
    <mergeCell ref="B21:B22"/>
    <mergeCell ref="A18:H18"/>
    <mergeCell ref="A19:H19"/>
    <mergeCell ref="A60:H60"/>
    <mergeCell ref="A24:H24"/>
    <mergeCell ref="A59:H59"/>
    <mergeCell ref="A16:H16"/>
    <mergeCell ref="C21:D21"/>
    <mergeCell ref="E21:H21"/>
    <mergeCell ref="A17:H17"/>
  </mergeCells>
  <phoneticPr fontId="3" type="noConversion"/>
  <conditionalFormatting sqref="C107:F107">
    <cfRule type="cellIs" dxfId="0" priority="1" operator="notEqual">
      <formula>0</formula>
    </cfRule>
  </conditionalFormatting>
  <printOptions horizontalCentered="1"/>
  <pageMargins left="0.59055118110236227" right="0.59055118110236227" top="0.98425196850393704" bottom="0.59055118110236227" header="0" footer="0"/>
  <pageSetup paperSize="9" scale="48" fitToHeight="0" orientation="landscape" blackAndWhite="1" verticalDpi="300" r:id="rId1"/>
  <headerFooter alignWithMargins="0"/>
  <ignoredErrors>
    <ignoredError sqref="F123 D33:F33" evalError="1"/>
    <ignoredError sqref="B75 B109:B116 B118:B126" numberStoredAsText="1"/>
    <ignoredError sqref="E119:E121" formula="1"/>
    <ignoredError sqref="E123" evalError="1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P323"/>
  <sheetViews>
    <sheetView zoomScale="50" zoomScaleNormal="50" zoomScaleSheetLayoutView="50" workbookViewId="0">
      <selection activeCell="D5" sqref="D5"/>
    </sheetView>
  </sheetViews>
  <sheetFormatPr defaultColWidth="9.109375" defaultRowHeight="18"/>
  <cols>
    <col min="1" max="1" width="98.5546875" style="305" customWidth="1"/>
    <col min="2" max="2" width="14.88671875" style="306" customWidth="1"/>
    <col min="3" max="7" width="22.44140625" style="306" customWidth="1"/>
    <col min="8" max="8" width="19.88671875" style="306" customWidth="1"/>
    <col min="9" max="9" width="31.88671875" style="306" customWidth="1"/>
    <col min="10" max="13" width="9.109375" style="305"/>
    <col min="14" max="14" width="19.44140625" style="305" bestFit="1" customWidth="1"/>
    <col min="15" max="15" width="9.109375" style="305"/>
    <col min="16" max="16" width="10.88671875" style="305" bestFit="1" customWidth="1"/>
    <col min="17" max="16384" width="9.109375" style="305"/>
  </cols>
  <sheetData>
    <row r="1" spans="1:9" ht="29.25" customHeight="1">
      <c r="H1" s="313" t="s">
        <v>339</v>
      </c>
    </row>
    <row r="2" spans="1:9" ht="37.5" customHeight="1">
      <c r="A2" s="408" t="s">
        <v>75</v>
      </c>
      <c r="B2" s="408"/>
      <c r="C2" s="408"/>
      <c r="D2" s="408"/>
      <c r="E2" s="408"/>
      <c r="F2" s="408"/>
      <c r="G2" s="408"/>
      <c r="H2" s="408"/>
      <c r="I2" s="408"/>
    </row>
    <row r="3" spans="1:9" ht="22.5" customHeight="1">
      <c r="A3" s="286"/>
      <c r="B3" s="90"/>
      <c r="C3" s="90"/>
      <c r="D3" s="90"/>
      <c r="E3" s="90"/>
      <c r="F3" s="90"/>
      <c r="G3" s="90"/>
      <c r="H3" s="90" t="s">
        <v>422</v>
      </c>
      <c r="I3" s="90"/>
    </row>
    <row r="4" spans="1:9" ht="55.5" customHeight="1">
      <c r="A4" s="391" t="s">
        <v>152</v>
      </c>
      <c r="B4" s="389" t="s">
        <v>18</v>
      </c>
      <c r="C4" s="389" t="s">
        <v>274</v>
      </c>
      <c r="D4" s="389"/>
      <c r="E4" s="391" t="s">
        <v>695</v>
      </c>
      <c r="F4" s="391"/>
      <c r="G4" s="391"/>
      <c r="H4" s="391"/>
      <c r="I4" s="391"/>
    </row>
    <row r="5" spans="1:9" ht="108" customHeight="1">
      <c r="A5" s="391"/>
      <c r="B5" s="389"/>
      <c r="C5" s="284" t="s">
        <v>703</v>
      </c>
      <c r="D5" s="284" t="s">
        <v>697</v>
      </c>
      <c r="E5" s="284" t="s">
        <v>143</v>
      </c>
      <c r="F5" s="284" t="s">
        <v>139</v>
      </c>
      <c r="G5" s="96" t="s">
        <v>149</v>
      </c>
      <c r="H5" s="96" t="s">
        <v>359</v>
      </c>
      <c r="I5" s="284" t="s">
        <v>148</v>
      </c>
    </row>
    <row r="6" spans="1:9" ht="24.75" customHeight="1">
      <c r="A6" s="283">
        <v>1</v>
      </c>
      <c r="B6" s="284">
        <v>2</v>
      </c>
      <c r="C6" s="283">
        <v>3</v>
      </c>
      <c r="D6" s="284">
        <v>4</v>
      </c>
      <c r="E6" s="283">
        <v>5</v>
      </c>
      <c r="F6" s="284">
        <v>6</v>
      </c>
      <c r="G6" s="283">
        <v>7</v>
      </c>
      <c r="H6" s="284">
        <v>8</v>
      </c>
      <c r="I6" s="283">
        <v>9</v>
      </c>
    </row>
    <row r="7" spans="1:9" s="20" customFormat="1" ht="32.25" customHeight="1">
      <c r="A7" s="409" t="s">
        <v>147</v>
      </c>
      <c r="B7" s="409"/>
      <c r="C7" s="409"/>
      <c r="D7" s="409"/>
      <c r="E7" s="409"/>
      <c r="F7" s="409"/>
      <c r="G7" s="409"/>
      <c r="H7" s="409"/>
      <c r="I7" s="409"/>
    </row>
    <row r="8" spans="1:9" s="20" customFormat="1" ht="32.25" customHeight="1">
      <c r="A8" s="285" t="s">
        <v>122</v>
      </c>
      <c r="B8" s="38">
        <v>1000</v>
      </c>
      <c r="C8" s="302">
        <v>117666</v>
      </c>
      <c r="D8" s="302">
        <v>390377</v>
      </c>
      <c r="E8" s="302">
        <v>370210</v>
      </c>
      <c r="F8" s="302">
        <f>D8</f>
        <v>390377</v>
      </c>
      <c r="G8" s="192">
        <f t="shared" ref="G8:G10" si="0">IF(F8="(    )",0,F8)-IF(E8="(    )",0,E8)</f>
        <v>20167</v>
      </c>
      <c r="H8" s="74">
        <f t="shared" ref="H8:H10" si="1">IF(IF(E8="(    )",0,E8)=0,0,IF(F8="(    )",0,F8)/IF(E8="(    )",0,E8))*100</f>
        <v>105.44744874530672</v>
      </c>
      <c r="I8" s="39"/>
    </row>
    <row r="9" spans="1:9" s="20" customFormat="1" ht="32.25" customHeight="1">
      <c r="A9" s="285" t="s">
        <v>110</v>
      </c>
      <c r="B9" s="38">
        <v>1010</v>
      </c>
      <c r="C9" s="302">
        <f>SUM(C10:C17)</f>
        <v>-634675</v>
      </c>
      <c r="D9" s="302">
        <f t="shared" ref="D9:F9" si="2">SUM(D10:D17)</f>
        <v>-777297</v>
      </c>
      <c r="E9" s="302">
        <f>SUM(E10:E17)</f>
        <v>-1159020</v>
      </c>
      <c r="F9" s="302">
        <f t="shared" si="2"/>
        <v>-777297</v>
      </c>
      <c r="G9" s="192">
        <f t="shared" si="0"/>
        <v>381723</v>
      </c>
      <c r="H9" s="74">
        <f t="shared" si="1"/>
        <v>67.065020448309781</v>
      </c>
      <c r="I9" s="39"/>
    </row>
    <row r="10" spans="1:9" ht="32.25" customHeight="1">
      <c r="A10" s="300" t="s">
        <v>298</v>
      </c>
      <c r="B10" s="40">
        <v>1011</v>
      </c>
      <c r="C10" s="301">
        <v>-104152</v>
      </c>
      <c r="D10" s="301">
        <v>-126289</v>
      </c>
      <c r="E10" s="301">
        <v>-365214</v>
      </c>
      <c r="F10" s="301">
        <f>D10</f>
        <v>-126289</v>
      </c>
      <c r="G10" s="193">
        <f t="shared" si="0"/>
        <v>238925</v>
      </c>
      <c r="H10" s="78">
        <f t="shared" si="1"/>
        <v>34.579452047292818</v>
      </c>
      <c r="I10" s="41"/>
    </row>
    <row r="11" spans="1:9" ht="32.25" customHeight="1">
      <c r="A11" s="300" t="s">
        <v>408</v>
      </c>
      <c r="B11" s="40">
        <v>1012</v>
      </c>
      <c r="C11" s="301">
        <v>-7723</v>
      </c>
      <c r="D11" s="301">
        <v>-7357</v>
      </c>
      <c r="E11" s="301">
        <v>-12286</v>
      </c>
      <c r="F11" s="301">
        <f t="shared" ref="F11:F16" si="3">D11</f>
        <v>-7357</v>
      </c>
      <c r="G11" s="193">
        <f t="shared" ref="G11" si="4">IF(F11="(    )",0,F11)-IF(E11="(    )",0,E11)</f>
        <v>4929</v>
      </c>
      <c r="H11" s="78">
        <f t="shared" ref="H11" si="5">IF(IF(E11="(    )",0,E11)=0,0,IF(F11="(    )",0,F11)/IF(E11="(    )",0,E11))*100</f>
        <v>59.881165554289439</v>
      </c>
      <c r="I11" s="41"/>
    </row>
    <row r="12" spans="1:9" ht="32.25" customHeight="1">
      <c r="A12" s="300" t="s">
        <v>299</v>
      </c>
      <c r="B12" s="40">
        <v>1013</v>
      </c>
      <c r="C12" s="301">
        <v>-143041</v>
      </c>
      <c r="D12" s="301">
        <v>-166912</v>
      </c>
      <c r="E12" s="301">
        <v>-220582</v>
      </c>
      <c r="F12" s="301">
        <f t="shared" si="3"/>
        <v>-166912</v>
      </c>
      <c r="G12" s="193">
        <f t="shared" ref="G12:G75" si="6">IF(F12="(    )",0,F12)-IF(E12="(    )",0,E12)</f>
        <v>53670</v>
      </c>
      <c r="H12" s="78">
        <f t="shared" ref="H12:H75" si="7">IF(IF(E12="(    )",0,E12)=0,0,IF(F12="(    )",0,F12)/IF(E12="(    )",0,E12))*100</f>
        <v>75.668912241252684</v>
      </c>
      <c r="I12" s="41"/>
    </row>
    <row r="13" spans="1:9" ht="32.25" customHeight="1">
      <c r="A13" s="300" t="s">
        <v>5</v>
      </c>
      <c r="B13" s="40">
        <v>1014</v>
      </c>
      <c r="C13" s="301">
        <v>-257855</v>
      </c>
      <c r="D13" s="301">
        <v>-319345</v>
      </c>
      <c r="E13" s="301">
        <v>-357930</v>
      </c>
      <c r="F13" s="301">
        <f t="shared" si="3"/>
        <v>-319345</v>
      </c>
      <c r="G13" s="193">
        <f>IF(F13="(    )",0,F13)-IF(E13="(    )",0,E13)</f>
        <v>38585</v>
      </c>
      <c r="H13" s="78">
        <f t="shared" si="7"/>
        <v>89.219959209901376</v>
      </c>
      <c r="I13" s="41"/>
    </row>
    <row r="14" spans="1:9" ht="32.25" customHeight="1">
      <c r="A14" s="300" t="s">
        <v>6</v>
      </c>
      <c r="B14" s="40">
        <v>1015</v>
      </c>
      <c r="C14" s="301">
        <v>-55275</v>
      </c>
      <c r="D14" s="301">
        <v>-67938</v>
      </c>
      <c r="E14" s="301">
        <v>-78746</v>
      </c>
      <c r="F14" s="301">
        <f t="shared" si="3"/>
        <v>-67938</v>
      </c>
      <c r="G14" s="193">
        <f t="shared" si="6"/>
        <v>10808</v>
      </c>
      <c r="H14" s="78">
        <f t="shared" si="7"/>
        <v>86.274858405506322</v>
      </c>
      <c r="I14" s="41"/>
    </row>
    <row r="15" spans="1:9" ht="63">
      <c r="A15" s="300" t="s">
        <v>300</v>
      </c>
      <c r="B15" s="284">
        <v>1016</v>
      </c>
      <c r="C15" s="301">
        <v>-14916</v>
      </c>
      <c r="D15" s="301">
        <v>-23719</v>
      </c>
      <c r="E15" s="301">
        <v>-65833</v>
      </c>
      <c r="F15" s="301">
        <f t="shared" si="3"/>
        <v>-23719</v>
      </c>
      <c r="G15" s="193">
        <f t="shared" si="6"/>
        <v>42114</v>
      </c>
      <c r="H15" s="78">
        <f t="shared" si="7"/>
        <v>36.029043185028783</v>
      </c>
      <c r="I15" s="95"/>
    </row>
    <row r="16" spans="1:9" ht="32.25" customHeight="1">
      <c r="A16" s="300" t="s">
        <v>301</v>
      </c>
      <c r="B16" s="284">
        <v>1017</v>
      </c>
      <c r="C16" s="301">
        <v>-39495</v>
      </c>
      <c r="D16" s="301">
        <v>-48422</v>
      </c>
      <c r="E16" s="301">
        <v>-45548</v>
      </c>
      <c r="F16" s="301">
        <f t="shared" si="3"/>
        <v>-48422</v>
      </c>
      <c r="G16" s="193">
        <f t="shared" si="6"/>
        <v>-2874</v>
      </c>
      <c r="H16" s="78">
        <f t="shared" si="7"/>
        <v>106.30982699569684</v>
      </c>
      <c r="I16" s="95"/>
    </row>
    <row r="17" spans="1:16" ht="32.25" customHeight="1">
      <c r="A17" s="300" t="s">
        <v>302</v>
      </c>
      <c r="B17" s="40">
        <v>1018</v>
      </c>
      <c r="C17" s="301">
        <f>-'Розшифровка фінрезультати'!D7</f>
        <v>-12218</v>
      </c>
      <c r="D17" s="301">
        <f>-'Розшифровка фінрезультати'!F7</f>
        <v>-17315</v>
      </c>
      <c r="E17" s="301">
        <f>-'Розшифровка фінрезультати'!E7</f>
        <v>-12881</v>
      </c>
      <c r="F17" s="301">
        <f>D17</f>
        <v>-17315</v>
      </c>
      <c r="G17" s="193">
        <f t="shared" si="6"/>
        <v>-4434</v>
      </c>
      <c r="H17" s="78">
        <f t="shared" si="7"/>
        <v>134.42279326139274</v>
      </c>
      <c r="I17" s="41"/>
      <c r="K17" s="305" t="s">
        <v>684</v>
      </c>
      <c r="N17" s="269">
        <f>D13+D25+D43</f>
        <v>-365924</v>
      </c>
    </row>
    <row r="18" spans="1:16" s="20" customFormat="1" ht="32.25" customHeight="1">
      <c r="A18" s="285" t="s">
        <v>23</v>
      </c>
      <c r="B18" s="38">
        <v>1020</v>
      </c>
      <c r="C18" s="302">
        <f>SUM(C8,C9)</f>
        <v>-517009</v>
      </c>
      <c r="D18" s="302">
        <f>SUM(D8,D9)</f>
        <v>-386920</v>
      </c>
      <c r="E18" s="302">
        <f>SUM(E8,E9)</f>
        <v>-788810</v>
      </c>
      <c r="F18" s="302">
        <f t="shared" ref="F18" si="8">SUM(F8,F9)</f>
        <v>-386920</v>
      </c>
      <c r="G18" s="192">
        <f t="shared" si="6"/>
        <v>401890</v>
      </c>
      <c r="H18" s="74">
        <f t="shared" si="7"/>
        <v>49.051102293327922</v>
      </c>
      <c r="I18" s="39"/>
    </row>
    <row r="19" spans="1:16" s="20" customFormat="1" ht="32.25" customHeight="1">
      <c r="A19" s="285" t="s">
        <v>129</v>
      </c>
      <c r="B19" s="38">
        <v>1030</v>
      </c>
      <c r="C19" s="302">
        <f>SUM(C20:C37,C39)</f>
        <v>-37571</v>
      </c>
      <c r="D19" s="302">
        <f>SUM(D20:D37,D39)</f>
        <v>-47635</v>
      </c>
      <c r="E19" s="302">
        <f>ROUNDDOWN(SUM(E20:E37,E39),0)</f>
        <v>-46292</v>
      </c>
      <c r="F19" s="302">
        <f t="shared" ref="F19" si="9">SUM(F20:F37,F39)</f>
        <v>-47635</v>
      </c>
      <c r="G19" s="192">
        <f t="shared" si="6"/>
        <v>-1343</v>
      </c>
      <c r="H19" s="74">
        <f t="shared" si="7"/>
        <v>102.90114922664824</v>
      </c>
      <c r="I19" s="39"/>
      <c r="K19" s="20" t="s">
        <v>685</v>
      </c>
      <c r="N19" s="20">
        <v>295325</v>
      </c>
      <c r="P19" s="270">
        <f>N17+N19</f>
        <v>-70599</v>
      </c>
    </row>
    <row r="20" spans="1:16" s="20" customFormat="1" ht="32.25" customHeight="1">
      <c r="A20" s="300" t="s">
        <v>82</v>
      </c>
      <c r="B20" s="40">
        <v>1031</v>
      </c>
      <c r="C20" s="301">
        <v>-906</v>
      </c>
      <c r="D20" s="301">
        <v>-1102</v>
      </c>
      <c r="E20" s="301">
        <v>-1596</v>
      </c>
      <c r="F20" s="301">
        <f>D20</f>
        <v>-1102</v>
      </c>
      <c r="G20" s="193">
        <f t="shared" si="6"/>
        <v>494</v>
      </c>
      <c r="H20" s="78">
        <f t="shared" si="7"/>
        <v>69.047619047619051</v>
      </c>
      <c r="I20" s="41"/>
    </row>
    <row r="21" spans="1:16" s="20" customFormat="1" ht="32.25" customHeight="1">
      <c r="A21" s="300" t="s">
        <v>123</v>
      </c>
      <c r="B21" s="40">
        <v>1032</v>
      </c>
      <c r="C21" s="301">
        <f>-'6.2. Інша інфо_2'!R22</f>
        <v>0</v>
      </c>
      <c r="D21" s="301"/>
      <c r="E21" s="301">
        <f>'6.2. Інша інфо_2'!U22</f>
        <v>0</v>
      </c>
      <c r="F21" s="301">
        <f t="shared" ref="F21:F38" si="10">D21</f>
        <v>0</v>
      </c>
      <c r="G21" s="193">
        <f t="shared" si="6"/>
        <v>0</v>
      </c>
      <c r="H21" s="78">
        <f t="shared" si="7"/>
        <v>0</v>
      </c>
      <c r="I21" s="41"/>
    </row>
    <row r="22" spans="1:16" s="20" customFormat="1" ht="32.25" customHeight="1">
      <c r="A22" s="300" t="s">
        <v>22</v>
      </c>
      <c r="B22" s="40">
        <v>1033</v>
      </c>
      <c r="C22" s="301" t="s">
        <v>184</v>
      </c>
      <c r="D22" s="301" t="s">
        <v>184</v>
      </c>
      <c r="E22" s="301" t="s">
        <v>184</v>
      </c>
      <c r="F22" s="301" t="str">
        <f t="shared" si="10"/>
        <v>(    )</v>
      </c>
      <c r="G22" s="193">
        <f t="shared" si="6"/>
        <v>0</v>
      </c>
      <c r="H22" s="78">
        <f t="shared" si="7"/>
        <v>0</v>
      </c>
      <c r="I22" s="41"/>
    </row>
    <row r="23" spans="1:16" s="20" customFormat="1" ht="32.25" customHeight="1">
      <c r="A23" s="300" t="s">
        <v>32</v>
      </c>
      <c r="B23" s="40">
        <v>1034</v>
      </c>
      <c r="C23" s="301">
        <v>-19</v>
      </c>
      <c r="D23" s="301">
        <v>-3</v>
      </c>
      <c r="E23" s="301">
        <v>-50</v>
      </c>
      <c r="F23" s="301">
        <f t="shared" si="10"/>
        <v>-3</v>
      </c>
      <c r="G23" s="193">
        <f t="shared" si="6"/>
        <v>47</v>
      </c>
      <c r="H23" s="78">
        <f t="shared" si="7"/>
        <v>6</v>
      </c>
      <c r="I23" s="41"/>
    </row>
    <row r="24" spans="1:16" s="20" customFormat="1" ht="32.25" customHeight="1">
      <c r="A24" s="300" t="s">
        <v>33</v>
      </c>
      <c r="B24" s="40">
        <v>1035</v>
      </c>
      <c r="C24" s="301">
        <v>-319</v>
      </c>
      <c r="D24" s="301">
        <v>-379</v>
      </c>
      <c r="E24" s="301">
        <v>-592</v>
      </c>
      <c r="F24" s="301">
        <f t="shared" si="10"/>
        <v>-379</v>
      </c>
      <c r="G24" s="193">
        <f t="shared" si="6"/>
        <v>213</v>
      </c>
      <c r="H24" s="78">
        <f t="shared" si="7"/>
        <v>64.020270270270274</v>
      </c>
      <c r="I24" s="41"/>
    </row>
    <row r="25" spans="1:16" s="20" customFormat="1" ht="32.25" customHeight="1">
      <c r="A25" s="300" t="s">
        <v>34</v>
      </c>
      <c r="B25" s="40">
        <v>1036</v>
      </c>
      <c r="C25" s="301">
        <v>-27647</v>
      </c>
      <c r="D25" s="301">
        <v>-35424</v>
      </c>
      <c r="E25" s="301">
        <v>-33626</v>
      </c>
      <c r="F25" s="301">
        <f t="shared" si="10"/>
        <v>-35424</v>
      </c>
      <c r="G25" s="193">
        <f t="shared" si="6"/>
        <v>-1798</v>
      </c>
      <c r="H25" s="78">
        <f t="shared" si="7"/>
        <v>105.3470528757509</v>
      </c>
      <c r="I25" s="41"/>
    </row>
    <row r="26" spans="1:16" s="20" customFormat="1" ht="32.25" customHeight="1">
      <c r="A26" s="300" t="s">
        <v>35</v>
      </c>
      <c r="B26" s="40">
        <v>1037</v>
      </c>
      <c r="C26" s="301">
        <v>-5754</v>
      </c>
      <c r="D26" s="301">
        <v>-7627</v>
      </c>
      <c r="E26" s="301">
        <v>-7397</v>
      </c>
      <c r="F26" s="301">
        <f t="shared" si="10"/>
        <v>-7627</v>
      </c>
      <c r="G26" s="193">
        <f t="shared" si="6"/>
        <v>-230</v>
      </c>
      <c r="H26" s="78">
        <f t="shared" si="7"/>
        <v>103.10936866297146</v>
      </c>
      <c r="I26" s="41"/>
    </row>
    <row r="27" spans="1:16" s="20" customFormat="1" ht="42">
      <c r="A27" s="300" t="s">
        <v>36</v>
      </c>
      <c r="B27" s="40">
        <v>1038</v>
      </c>
      <c r="C27" s="301">
        <v>-922</v>
      </c>
      <c r="D27" s="301">
        <v>-942</v>
      </c>
      <c r="E27" s="301">
        <v>-681</v>
      </c>
      <c r="F27" s="301">
        <f t="shared" si="10"/>
        <v>-942</v>
      </c>
      <c r="G27" s="193">
        <f t="shared" si="6"/>
        <v>-261</v>
      </c>
      <c r="H27" s="78">
        <f t="shared" si="7"/>
        <v>138.32599118942733</v>
      </c>
      <c r="I27" s="41"/>
    </row>
    <row r="28" spans="1:16" ht="42">
      <c r="A28" s="300" t="s">
        <v>37</v>
      </c>
      <c r="B28" s="40">
        <v>1039</v>
      </c>
      <c r="C28" s="301" t="s">
        <v>184</v>
      </c>
      <c r="D28" s="301" t="s">
        <v>184</v>
      </c>
      <c r="E28" s="301" t="s">
        <v>184</v>
      </c>
      <c r="F28" s="301" t="str">
        <f t="shared" si="10"/>
        <v>(    )</v>
      </c>
      <c r="G28" s="193">
        <f t="shared" si="6"/>
        <v>0</v>
      </c>
      <c r="H28" s="78">
        <f t="shared" si="7"/>
        <v>0</v>
      </c>
      <c r="I28" s="41"/>
    </row>
    <row r="29" spans="1:16" s="20" customFormat="1" ht="32.25" customHeight="1">
      <c r="A29" s="300" t="s">
        <v>38</v>
      </c>
      <c r="B29" s="40">
        <v>1040</v>
      </c>
      <c r="C29" s="301" t="s">
        <v>184</v>
      </c>
      <c r="D29" s="301"/>
      <c r="E29" s="301" t="s">
        <v>184</v>
      </c>
      <c r="F29" s="301">
        <f t="shared" si="10"/>
        <v>0</v>
      </c>
      <c r="G29" s="193">
        <f t="shared" si="6"/>
        <v>0</v>
      </c>
      <c r="H29" s="78">
        <f t="shared" si="7"/>
        <v>0</v>
      </c>
      <c r="I29" s="41"/>
    </row>
    <row r="30" spans="1:16" s="20" customFormat="1" ht="32.25" customHeight="1">
      <c r="A30" s="300" t="s">
        <v>39</v>
      </c>
      <c r="B30" s="40">
        <v>1041</v>
      </c>
      <c r="C30" s="301">
        <v>-5</v>
      </c>
      <c r="D30" s="301">
        <v>-1</v>
      </c>
      <c r="E30" s="301">
        <v>-20</v>
      </c>
      <c r="F30" s="301">
        <f t="shared" si="10"/>
        <v>-1</v>
      </c>
      <c r="G30" s="193">
        <f t="shared" si="6"/>
        <v>19</v>
      </c>
      <c r="H30" s="78">
        <f t="shared" si="7"/>
        <v>5</v>
      </c>
      <c r="I30" s="41"/>
    </row>
    <row r="31" spans="1:16" s="20" customFormat="1" ht="32.25" customHeight="1">
      <c r="A31" s="300" t="s">
        <v>40</v>
      </c>
      <c r="B31" s="40">
        <v>1042</v>
      </c>
      <c r="C31" s="301">
        <v>-116</v>
      </c>
      <c r="D31" s="301">
        <v>-337</v>
      </c>
      <c r="E31" s="301">
        <v>-276</v>
      </c>
      <c r="F31" s="301">
        <f t="shared" si="10"/>
        <v>-337</v>
      </c>
      <c r="G31" s="193">
        <f t="shared" si="6"/>
        <v>-61</v>
      </c>
      <c r="H31" s="78">
        <f t="shared" si="7"/>
        <v>122.10144927536233</v>
      </c>
      <c r="I31" s="41"/>
    </row>
    <row r="32" spans="1:16" s="20" customFormat="1" ht="32.25" customHeight="1">
      <c r="A32" s="300" t="s">
        <v>56</v>
      </c>
      <c r="B32" s="40">
        <v>1043</v>
      </c>
      <c r="C32" s="301">
        <v>-89</v>
      </c>
      <c r="D32" s="301">
        <v>-179</v>
      </c>
      <c r="E32" s="301">
        <v>-76</v>
      </c>
      <c r="F32" s="301">
        <f t="shared" si="10"/>
        <v>-179</v>
      </c>
      <c r="G32" s="193">
        <f t="shared" si="6"/>
        <v>-103</v>
      </c>
      <c r="H32" s="78">
        <f t="shared" si="7"/>
        <v>235.52631578947367</v>
      </c>
      <c r="I32" s="41"/>
    </row>
    <row r="33" spans="1:9" s="20" customFormat="1" ht="32.25" customHeight="1">
      <c r="A33" s="300" t="s">
        <v>41</v>
      </c>
      <c r="B33" s="40">
        <v>1044</v>
      </c>
      <c r="C33" s="301">
        <v>-141</v>
      </c>
      <c r="D33" s="301">
        <v>-41</v>
      </c>
      <c r="E33" s="301">
        <v>-100</v>
      </c>
      <c r="F33" s="301">
        <f t="shared" si="10"/>
        <v>-41</v>
      </c>
      <c r="G33" s="193">
        <f t="shared" si="6"/>
        <v>59</v>
      </c>
      <c r="H33" s="78">
        <f t="shared" si="7"/>
        <v>41</v>
      </c>
      <c r="I33" s="41"/>
    </row>
    <row r="34" spans="1:9" s="20" customFormat="1" ht="32.25" customHeight="1">
      <c r="A34" s="300" t="s">
        <v>42</v>
      </c>
      <c r="B34" s="40">
        <v>1045</v>
      </c>
      <c r="C34" s="301"/>
      <c r="D34" s="301" t="s">
        <v>184</v>
      </c>
      <c r="E34" s="301" t="s">
        <v>184</v>
      </c>
      <c r="F34" s="301" t="str">
        <f t="shared" si="10"/>
        <v>(    )</v>
      </c>
      <c r="G34" s="193">
        <f t="shared" si="6"/>
        <v>0</v>
      </c>
      <c r="H34" s="78">
        <f t="shared" si="7"/>
        <v>0</v>
      </c>
      <c r="I34" s="41"/>
    </row>
    <row r="35" spans="1:9" s="20" customFormat="1" ht="32.25" customHeight="1">
      <c r="A35" s="300" t="s">
        <v>43</v>
      </c>
      <c r="B35" s="40">
        <v>1046</v>
      </c>
      <c r="C35" s="301"/>
      <c r="D35" s="301">
        <v>0</v>
      </c>
      <c r="E35" s="301">
        <v>-9</v>
      </c>
      <c r="F35" s="301">
        <f t="shared" si="10"/>
        <v>0</v>
      </c>
      <c r="G35" s="193">
        <f t="shared" si="6"/>
        <v>9</v>
      </c>
      <c r="H35" s="78">
        <f t="shared" si="7"/>
        <v>0</v>
      </c>
      <c r="I35" s="41"/>
    </row>
    <row r="36" spans="1:9" s="20" customFormat="1" ht="32.25" customHeight="1">
      <c r="A36" s="300" t="s">
        <v>44</v>
      </c>
      <c r="B36" s="40">
        <v>1047</v>
      </c>
      <c r="C36" s="301">
        <v>-12</v>
      </c>
      <c r="D36" s="301">
        <v>-12</v>
      </c>
      <c r="E36" s="301">
        <v>-52</v>
      </c>
      <c r="F36" s="301">
        <f t="shared" si="10"/>
        <v>-12</v>
      </c>
      <c r="G36" s="193">
        <f t="shared" si="6"/>
        <v>40</v>
      </c>
      <c r="H36" s="78">
        <f t="shared" si="7"/>
        <v>23.076923076923077</v>
      </c>
      <c r="I36" s="41"/>
    </row>
    <row r="37" spans="1:9" ht="42">
      <c r="A37" s="300" t="s">
        <v>64</v>
      </c>
      <c r="B37" s="40">
        <v>1048</v>
      </c>
      <c r="C37" s="301">
        <v>-27</v>
      </c>
      <c r="D37" s="301"/>
      <c r="E37" s="301">
        <v>-40</v>
      </c>
      <c r="F37" s="301">
        <f t="shared" si="10"/>
        <v>0</v>
      </c>
      <c r="G37" s="193">
        <f t="shared" si="6"/>
        <v>40</v>
      </c>
      <c r="H37" s="78">
        <f t="shared" si="7"/>
        <v>0</v>
      </c>
      <c r="I37" s="41"/>
    </row>
    <row r="38" spans="1:9" s="20" customFormat="1" ht="32.25" customHeight="1">
      <c r="A38" s="300" t="s">
        <v>45</v>
      </c>
      <c r="B38" s="40" t="s">
        <v>356</v>
      </c>
      <c r="C38" s="301" t="s">
        <v>184</v>
      </c>
      <c r="D38" s="301"/>
      <c r="E38" s="301" t="s">
        <v>184</v>
      </c>
      <c r="F38" s="301">
        <f t="shared" si="10"/>
        <v>0</v>
      </c>
      <c r="G38" s="193">
        <f t="shared" si="6"/>
        <v>0</v>
      </c>
      <c r="H38" s="78">
        <f t="shared" si="7"/>
        <v>0</v>
      </c>
      <c r="I38" s="41"/>
    </row>
    <row r="39" spans="1:9" s="20" customFormat="1" ht="32.25" customHeight="1">
      <c r="A39" s="300" t="s">
        <v>85</v>
      </c>
      <c r="B39" s="40">
        <v>1049</v>
      </c>
      <c r="C39" s="301">
        <f>-'Розшифровка фінрезультати'!D28</f>
        <v>-1614</v>
      </c>
      <c r="D39" s="301">
        <f>-'Розшифровка фінрезультати'!F28</f>
        <v>-1588</v>
      </c>
      <c r="E39" s="301">
        <f>-'Розшифровка фінрезультати'!E28</f>
        <v>-1777</v>
      </c>
      <c r="F39" s="301">
        <f>D39</f>
        <v>-1588</v>
      </c>
      <c r="G39" s="193">
        <f t="shared" si="6"/>
        <v>189</v>
      </c>
      <c r="H39" s="78">
        <f t="shared" si="7"/>
        <v>89.364096792346643</v>
      </c>
      <c r="I39" s="41"/>
    </row>
    <row r="40" spans="1:9" s="20" customFormat="1" ht="32.25" customHeight="1">
      <c r="A40" s="285" t="s">
        <v>130</v>
      </c>
      <c r="B40" s="264">
        <v>1060</v>
      </c>
      <c r="C40" s="302">
        <f>SUM(C41:C47)</f>
        <v>-23688</v>
      </c>
      <c r="D40" s="302">
        <f t="shared" ref="D40:F40" si="11">SUM(D41:D47)</f>
        <v>-61856</v>
      </c>
      <c r="E40" s="302">
        <f>SUM(E41:E47)</f>
        <v>-52266</v>
      </c>
      <c r="F40" s="302">
        <f t="shared" si="11"/>
        <v>-61856</v>
      </c>
      <c r="G40" s="192">
        <f t="shared" si="6"/>
        <v>-9590</v>
      </c>
      <c r="H40" s="74">
        <f t="shared" si="7"/>
        <v>118.34844832204492</v>
      </c>
      <c r="I40" s="264"/>
    </row>
    <row r="41" spans="1:9" s="20" customFormat="1" ht="32.25" customHeight="1">
      <c r="A41" s="300" t="s">
        <v>112</v>
      </c>
      <c r="B41" s="40">
        <v>1061</v>
      </c>
      <c r="C41" s="301" t="s">
        <v>184</v>
      </c>
      <c r="D41" s="301" t="s">
        <v>184</v>
      </c>
      <c r="E41" s="301" t="s">
        <v>184</v>
      </c>
      <c r="F41" s="301" t="s">
        <v>184</v>
      </c>
      <c r="G41" s="193">
        <f t="shared" si="6"/>
        <v>0</v>
      </c>
      <c r="H41" s="78">
        <f t="shared" si="7"/>
        <v>0</v>
      </c>
      <c r="I41" s="41"/>
    </row>
    <row r="42" spans="1:9" s="20" customFormat="1" ht="32.25" customHeight="1">
      <c r="A42" s="300" t="s">
        <v>113</v>
      </c>
      <c r="B42" s="40">
        <v>1062</v>
      </c>
      <c r="C42" s="301" t="s">
        <v>184</v>
      </c>
      <c r="D42" s="301" t="s">
        <v>184</v>
      </c>
      <c r="E42" s="301" t="s">
        <v>184</v>
      </c>
      <c r="F42" s="301" t="s">
        <v>184</v>
      </c>
      <c r="G42" s="193">
        <f t="shared" si="6"/>
        <v>0</v>
      </c>
      <c r="H42" s="78">
        <f t="shared" si="7"/>
        <v>0</v>
      </c>
      <c r="I42" s="41"/>
    </row>
    <row r="43" spans="1:9" s="20" customFormat="1" ht="32.25" customHeight="1">
      <c r="A43" s="300" t="s">
        <v>34</v>
      </c>
      <c r="B43" s="40">
        <v>1063</v>
      </c>
      <c r="C43" s="301">
        <v>-9823</v>
      </c>
      <c r="D43" s="301">
        <v>-11155</v>
      </c>
      <c r="E43" s="301">
        <v>-16376</v>
      </c>
      <c r="F43" s="301">
        <f>D43</f>
        <v>-11155</v>
      </c>
      <c r="G43" s="193">
        <f t="shared" si="6"/>
        <v>5221</v>
      </c>
      <c r="H43" s="78">
        <f t="shared" si="7"/>
        <v>68.117977528089895</v>
      </c>
      <c r="I43" s="41"/>
    </row>
    <row r="44" spans="1:9" s="20" customFormat="1" ht="32.25" customHeight="1">
      <c r="A44" s="300" t="s">
        <v>35</v>
      </c>
      <c r="B44" s="40">
        <v>1064</v>
      </c>
      <c r="C44" s="301">
        <v>-2074</v>
      </c>
      <c r="D44" s="301">
        <v>-2343</v>
      </c>
      <c r="E44" s="301">
        <v>-3604</v>
      </c>
      <c r="F44" s="301">
        <f t="shared" ref="F44:F46" si="12">D44</f>
        <v>-2343</v>
      </c>
      <c r="G44" s="193">
        <f t="shared" si="6"/>
        <v>1261</v>
      </c>
      <c r="H44" s="78">
        <f t="shared" si="7"/>
        <v>65.011098779134286</v>
      </c>
      <c r="I44" s="41"/>
    </row>
    <row r="45" spans="1:9" s="20" customFormat="1" ht="32.25" customHeight="1">
      <c r="A45" s="300" t="s">
        <v>55</v>
      </c>
      <c r="B45" s="40">
        <v>1065</v>
      </c>
      <c r="C45" s="301" t="s">
        <v>184</v>
      </c>
      <c r="D45" s="301" t="s">
        <v>184</v>
      </c>
      <c r="E45" s="301" t="s">
        <v>184</v>
      </c>
      <c r="F45" s="301" t="str">
        <f t="shared" si="12"/>
        <v>(    )</v>
      </c>
      <c r="G45" s="193">
        <f t="shared" si="6"/>
        <v>0</v>
      </c>
      <c r="H45" s="78">
        <f t="shared" si="7"/>
        <v>0</v>
      </c>
      <c r="I45" s="41"/>
    </row>
    <row r="46" spans="1:9" s="20" customFormat="1" ht="32.25" customHeight="1">
      <c r="A46" s="300" t="s">
        <v>67</v>
      </c>
      <c r="B46" s="40">
        <v>1066</v>
      </c>
      <c r="C46" s="301">
        <v>-1</v>
      </c>
      <c r="D46" s="301"/>
      <c r="E46" s="301">
        <v>-10</v>
      </c>
      <c r="F46" s="301">
        <f t="shared" si="12"/>
        <v>0</v>
      </c>
      <c r="G46" s="193">
        <f t="shared" si="6"/>
        <v>10</v>
      </c>
      <c r="H46" s="78">
        <f t="shared" si="7"/>
        <v>0</v>
      </c>
      <c r="I46" s="41"/>
    </row>
    <row r="47" spans="1:9" s="20" customFormat="1" ht="32.25" customHeight="1">
      <c r="A47" s="300" t="s">
        <v>415</v>
      </c>
      <c r="B47" s="40">
        <v>1067</v>
      </c>
      <c r="C47" s="301">
        <f>-'Розшифровка фінрезультати'!D37</f>
        <v>-11790</v>
      </c>
      <c r="D47" s="301">
        <f>-'Розшифровка фінрезультати'!F37</f>
        <v>-48358</v>
      </c>
      <c r="E47" s="301">
        <f>-'Розшифровка фінрезультати'!E37</f>
        <v>-32276</v>
      </c>
      <c r="F47" s="301">
        <f>D47</f>
        <v>-48358</v>
      </c>
      <c r="G47" s="193">
        <f t="shared" si="6"/>
        <v>-16082</v>
      </c>
      <c r="H47" s="78">
        <f t="shared" si="7"/>
        <v>149.82649646796381</v>
      </c>
      <c r="I47" s="41"/>
    </row>
    <row r="48" spans="1:9" s="20" customFormat="1" ht="32.25" customHeight="1">
      <c r="A48" s="70" t="s">
        <v>201</v>
      </c>
      <c r="B48" s="264">
        <v>1070</v>
      </c>
      <c r="C48" s="302">
        <f>SUM(C49:C51)</f>
        <v>575539</v>
      </c>
      <c r="D48" s="302">
        <f t="shared" ref="D48:F48" si="13">SUM(D49:D51)</f>
        <v>465250</v>
      </c>
      <c r="E48" s="302">
        <f>SUM(E49:E51)</f>
        <v>891145</v>
      </c>
      <c r="F48" s="302">
        <f t="shared" si="13"/>
        <v>465250</v>
      </c>
      <c r="G48" s="192">
        <f t="shared" si="6"/>
        <v>-425895</v>
      </c>
      <c r="H48" s="74">
        <f t="shared" si="7"/>
        <v>52.208114279943217</v>
      </c>
      <c r="I48" s="70"/>
    </row>
    <row r="49" spans="1:9" s="20" customFormat="1" ht="32.25" customHeight="1">
      <c r="A49" s="300" t="s">
        <v>127</v>
      </c>
      <c r="B49" s="40">
        <v>1071</v>
      </c>
      <c r="C49" s="301"/>
      <c r="D49" s="301"/>
      <c r="E49" s="301"/>
      <c r="F49" s="301"/>
      <c r="G49" s="193">
        <f t="shared" si="6"/>
        <v>0</v>
      </c>
      <c r="H49" s="78">
        <f t="shared" si="7"/>
        <v>0</v>
      </c>
      <c r="I49" s="41"/>
    </row>
    <row r="50" spans="1:9" s="20" customFormat="1" ht="32.25" customHeight="1">
      <c r="A50" s="300" t="s">
        <v>229</v>
      </c>
      <c r="B50" s="40">
        <v>1072</v>
      </c>
      <c r="C50" s="301"/>
      <c r="D50" s="301"/>
      <c r="E50" s="301"/>
      <c r="F50" s="301"/>
      <c r="G50" s="193">
        <f t="shared" si="6"/>
        <v>0</v>
      </c>
      <c r="H50" s="78">
        <f t="shared" si="7"/>
        <v>0</v>
      </c>
      <c r="I50" s="41"/>
    </row>
    <row r="51" spans="1:9" s="20" customFormat="1" ht="32.25" customHeight="1">
      <c r="A51" s="300" t="s">
        <v>202</v>
      </c>
      <c r="B51" s="40">
        <v>1073</v>
      </c>
      <c r="C51" s="301">
        <f>'Розшифровка фінрезультати'!D63</f>
        <v>575539</v>
      </c>
      <c r="D51" s="301">
        <f>'Розшифровка фінрезультати'!F63</f>
        <v>465250</v>
      </c>
      <c r="E51" s="301">
        <f>'Розшифровка фінрезультати'!E63</f>
        <v>891145</v>
      </c>
      <c r="F51" s="301">
        <f>D51</f>
        <v>465250</v>
      </c>
      <c r="G51" s="193">
        <f t="shared" si="6"/>
        <v>-425895</v>
      </c>
      <c r="H51" s="78">
        <f t="shared" si="7"/>
        <v>52.208114279943217</v>
      </c>
      <c r="I51" s="41"/>
    </row>
    <row r="52" spans="1:9" s="20" customFormat="1" ht="32.25" customHeight="1">
      <c r="A52" s="70" t="s">
        <v>68</v>
      </c>
      <c r="B52" s="264">
        <v>1080</v>
      </c>
      <c r="C52" s="302">
        <f>SUM(C53:C58)</f>
        <v>-8396</v>
      </c>
      <c r="D52" s="302">
        <f t="shared" ref="D52:F52" si="14">SUM(D53:D58)</f>
        <v>-9914</v>
      </c>
      <c r="E52" s="302">
        <f t="shared" si="14"/>
        <v>-10706</v>
      </c>
      <c r="F52" s="302">
        <f t="shared" si="14"/>
        <v>-9914</v>
      </c>
      <c r="G52" s="192">
        <f t="shared" si="6"/>
        <v>792</v>
      </c>
      <c r="H52" s="74">
        <f t="shared" si="7"/>
        <v>92.60227909583412</v>
      </c>
      <c r="I52" s="70"/>
    </row>
    <row r="53" spans="1:9" s="20" customFormat="1" ht="32.25" customHeight="1">
      <c r="A53" s="300" t="s">
        <v>127</v>
      </c>
      <c r="B53" s="40">
        <v>1081</v>
      </c>
      <c r="C53" s="301" t="s">
        <v>184</v>
      </c>
      <c r="D53" s="301" t="s">
        <v>184</v>
      </c>
      <c r="E53" s="301" t="s">
        <v>184</v>
      </c>
      <c r="F53" s="301" t="s">
        <v>184</v>
      </c>
      <c r="G53" s="193">
        <f t="shared" si="6"/>
        <v>0</v>
      </c>
      <c r="H53" s="78">
        <f t="shared" si="7"/>
        <v>0</v>
      </c>
      <c r="I53" s="41"/>
    </row>
    <row r="54" spans="1:9" s="20" customFormat="1" ht="32.25" customHeight="1">
      <c r="A54" s="300" t="s">
        <v>290</v>
      </c>
      <c r="B54" s="40">
        <v>1082</v>
      </c>
      <c r="C54" s="301" t="s">
        <v>184</v>
      </c>
      <c r="D54" s="301" t="s">
        <v>184</v>
      </c>
      <c r="E54" s="301" t="s">
        <v>184</v>
      </c>
      <c r="F54" s="301" t="s">
        <v>184</v>
      </c>
      <c r="G54" s="193">
        <f t="shared" si="6"/>
        <v>0</v>
      </c>
      <c r="H54" s="78">
        <f t="shared" si="7"/>
        <v>0</v>
      </c>
      <c r="I54" s="41"/>
    </row>
    <row r="55" spans="1:9" s="20" customFormat="1" ht="32.25" customHeight="1">
      <c r="A55" s="300" t="s">
        <v>62</v>
      </c>
      <c r="B55" s="40">
        <v>1083</v>
      </c>
      <c r="C55" s="301" t="s">
        <v>184</v>
      </c>
      <c r="D55" s="301" t="s">
        <v>184</v>
      </c>
      <c r="E55" s="301" t="s">
        <v>184</v>
      </c>
      <c r="F55" s="301" t="s">
        <v>184</v>
      </c>
      <c r="G55" s="193">
        <f t="shared" si="6"/>
        <v>0</v>
      </c>
      <c r="H55" s="78">
        <f t="shared" si="7"/>
        <v>0</v>
      </c>
      <c r="I55" s="41"/>
    </row>
    <row r="56" spans="1:9" s="20" customFormat="1" ht="32.25" customHeight="1">
      <c r="A56" s="300" t="s">
        <v>46</v>
      </c>
      <c r="B56" s="40">
        <v>1084</v>
      </c>
      <c r="C56" s="301" t="s">
        <v>184</v>
      </c>
      <c r="D56" s="301" t="s">
        <v>184</v>
      </c>
      <c r="E56" s="301" t="s">
        <v>184</v>
      </c>
      <c r="F56" s="301" t="s">
        <v>184</v>
      </c>
      <c r="G56" s="193">
        <f t="shared" si="6"/>
        <v>0</v>
      </c>
      <c r="H56" s="78">
        <f t="shared" si="7"/>
        <v>0</v>
      </c>
      <c r="I56" s="41"/>
    </row>
    <row r="57" spans="1:9" s="20" customFormat="1" ht="32.25" customHeight="1">
      <c r="A57" s="300" t="s">
        <v>54</v>
      </c>
      <c r="B57" s="40">
        <v>1085</v>
      </c>
      <c r="C57" s="301" t="s">
        <v>184</v>
      </c>
      <c r="D57" s="301" t="s">
        <v>184</v>
      </c>
      <c r="E57" s="301" t="s">
        <v>184</v>
      </c>
      <c r="F57" s="301" t="s">
        <v>184</v>
      </c>
      <c r="G57" s="193">
        <f t="shared" si="6"/>
        <v>0</v>
      </c>
      <c r="H57" s="78">
        <f t="shared" si="7"/>
        <v>0</v>
      </c>
      <c r="I57" s="41"/>
    </row>
    <row r="58" spans="1:9" s="20" customFormat="1" ht="32.25" customHeight="1">
      <c r="A58" s="300" t="s">
        <v>141</v>
      </c>
      <c r="B58" s="40">
        <v>1086</v>
      </c>
      <c r="C58" s="301">
        <f>-'Розшифровка фінрезультати'!D40</f>
        <v>-8396</v>
      </c>
      <c r="D58" s="301">
        <f>-'Розшифровка фінрезультати'!F40</f>
        <v>-9914</v>
      </c>
      <c r="E58" s="301">
        <f>-'Розшифровка фінрезультати'!E40</f>
        <v>-10706</v>
      </c>
      <c r="F58" s="301">
        <f>D58</f>
        <v>-9914</v>
      </c>
      <c r="G58" s="193">
        <f t="shared" si="6"/>
        <v>792</v>
      </c>
      <c r="H58" s="78">
        <f t="shared" si="7"/>
        <v>92.60227909583412</v>
      </c>
      <c r="I58" s="41"/>
    </row>
    <row r="59" spans="1:9" s="20" customFormat="1" ht="32.25" customHeight="1">
      <c r="A59" s="70" t="s">
        <v>4</v>
      </c>
      <c r="B59" s="264">
        <v>1100</v>
      </c>
      <c r="C59" s="326">
        <f>SUM(C18,C19,C40,C48,C52)</f>
        <v>-11125</v>
      </c>
      <c r="D59" s="326">
        <f t="shared" ref="D59:F59" si="15">SUM(D18,D19,D40,D48,D52)</f>
        <v>-41075</v>
      </c>
      <c r="E59" s="326">
        <f t="shared" si="15"/>
        <v>-6929</v>
      </c>
      <c r="F59" s="326">
        <f t="shared" si="15"/>
        <v>-41075</v>
      </c>
      <c r="G59" s="192">
        <f t="shared" si="6"/>
        <v>-34146</v>
      </c>
      <c r="H59" s="74">
        <f t="shared" si="7"/>
        <v>592.79838360513781</v>
      </c>
      <c r="I59" s="70"/>
    </row>
    <row r="60" spans="1:9" s="20" customFormat="1" ht="32.25" customHeight="1">
      <c r="A60" s="300" t="s">
        <v>83</v>
      </c>
      <c r="B60" s="40">
        <v>1110</v>
      </c>
      <c r="C60" s="301"/>
      <c r="D60" s="301"/>
      <c r="E60" s="301"/>
      <c r="F60" s="301"/>
      <c r="G60" s="193">
        <f t="shared" si="6"/>
        <v>0</v>
      </c>
      <c r="H60" s="78">
        <f t="shared" si="7"/>
        <v>0</v>
      </c>
      <c r="I60" s="41"/>
    </row>
    <row r="61" spans="1:9" s="20" customFormat="1" ht="32.25" customHeight="1">
      <c r="A61" s="300" t="s">
        <v>87</v>
      </c>
      <c r="B61" s="40">
        <v>1120</v>
      </c>
      <c r="C61" s="301" t="s">
        <v>184</v>
      </c>
      <c r="D61" s="301" t="s">
        <v>184</v>
      </c>
      <c r="E61" s="301" t="s">
        <v>184</v>
      </c>
      <c r="F61" s="301" t="s">
        <v>184</v>
      </c>
      <c r="G61" s="193">
        <f t="shared" si="6"/>
        <v>0</v>
      </c>
      <c r="H61" s="78">
        <f t="shared" si="7"/>
        <v>0</v>
      </c>
      <c r="I61" s="41"/>
    </row>
    <row r="62" spans="1:9" s="20" customFormat="1" ht="32.25" customHeight="1">
      <c r="A62" s="70" t="s">
        <v>84</v>
      </c>
      <c r="B62" s="264">
        <v>1130</v>
      </c>
      <c r="C62" s="326">
        <f>'Розшифровка фінрезультати'!D77</f>
        <v>2585</v>
      </c>
      <c r="D62" s="326">
        <f>'Розшифровка фінрезультати'!F77</f>
        <v>7671</v>
      </c>
      <c r="E62" s="326">
        <f>'Розшифровка фінрезультати'!E77</f>
        <v>1500</v>
      </c>
      <c r="F62" s="326">
        <f>D62</f>
        <v>7671</v>
      </c>
      <c r="G62" s="192">
        <f t="shared" si="6"/>
        <v>6171</v>
      </c>
      <c r="H62" s="74">
        <f t="shared" si="7"/>
        <v>511.4</v>
      </c>
      <c r="I62" s="70"/>
    </row>
    <row r="63" spans="1:9" s="20" customFormat="1" ht="32.25" customHeight="1">
      <c r="A63" s="70" t="s">
        <v>86</v>
      </c>
      <c r="B63" s="264">
        <v>1140</v>
      </c>
      <c r="C63" s="302">
        <f>-'Розшифровка фінрезультати'!D51</f>
        <v>-7110</v>
      </c>
      <c r="D63" s="302">
        <f>-'Розшифровка фінрезультати'!F51</f>
        <v>-227</v>
      </c>
      <c r="E63" s="302">
        <f>-'Розшифровка фінрезультати'!E51</f>
        <v>-117</v>
      </c>
      <c r="F63" s="302">
        <f>D63</f>
        <v>-227</v>
      </c>
      <c r="G63" s="192">
        <f t="shared" si="6"/>
        <v>-110</v>
      </c>
      <c r="H63" s="74">
        <f t="shared" si="7"/>
        <v>194.01709401709402</v>
      </c>
      <c r="I63" s="70"/>
    </row>
    <row r="64" spans="1:9" s="20" customFormat="1" ht="32.25" customHeight="1">
      <c r="A64" s="70" t="s">
        <v>203</v>
      </c>
      <c r="B64" s="264">
        <v>1150</v>
      </c>
      <c r="C64" s="234">
        <f>SUM(C65:C66)</f>
        <v>5717</v>
      </c>
      <c r="D64" s="234">
        <f t="shared" ref="D64:F64" si="16">SUM(D65:D66)</f>
        <v>7250</v>
      </c>
      <c r="E64" s="234">
        <f t="shared" si="16"/>
        <v>5576</v>
      </c>
      <c r="F64" s="234">
        <f t="shared" si="16"/>
        <v>7250</v>
      </c>
      <c r="G64" s="192">
        <f t="shared" si="6"/>
        <v>1674</v>
      </c>
      <c r="H64" s="74">
        <f t="shared" si="7"/>
        <v>130.02152080344334</v>
      </c>
      <c r="I64" s="70"/>
    </row>
    <row r="65" spans="1:9" s="20" customFormat="1" ht="32.25" customHeight="1">
      <c r="A65" s="300" t="s">
        <v>127</v>
      </c>
      <c r="B65" s="40">
        <v>1151</v>
      </c>
      <c r="C65" s="301"/>
      <c r="D65" s="301"/>
      <c r="E65" s="301"/>
      <c r="F65" s="301"/>
      <c r="G65" s="193">
        <f t="shared" si="6"/>
        <v>0</v>
      </c>
      <c r="H65" s="78">
        <f t="shared" si="7"/>
        <v>0</v>
      </c>
      <c r="I65" s="41"/>
    </row>
    <row r="66" spans="1:9" s="20" customFormat="1" ht="32.25" customHeight="1">
      <c r="A66" s="300" t="s">
        <v>204</v>
      </c>
      <c r="B66" s="40">
        <v>1152</v>
      </c>
      <c r="C66" s="301">
        <f>'Розшифровка фінрезультати'!D79</f>
        <v>5717</v>
      </c>
      <c r="D66" s="301">
        <f>'Розшифровка фінрезультати'!F79</f>
        <v>7250</v>
      </c>
      <c r="E66" s="301">
        <f>'Розшифровка фінрезультати'!E79</f>
        <v>5576</v>
      </c>
      <c r="F66" s="301">
        <f>D66</f>
        <v>7250</v>
      </c>
      <c r="G66" s="193">
        <f t="shared" si="6"/>
        <v>1674</v>
      </c>
      <c r="H66" s="78">
        <f t="shared" si="7"/>
        <v>130.02152080344334</v>
      </c>
      <c r="I66" s="41"/>
    </row>
    <row r="67" spans="1:9" s="20" customFormat="1" ht="32.25" customHeight="1">
      <c r="A67" s="70" t="s">
        <v>205</v>
      </c>
      <c r="B67" s="264">
        <v>1160</v>
      </c>
      <c r="C67" s="302">
        <f>SUM(C68:C69)</f>
        <v>-4260</v>
      </c>
      <c r="D67" s="302">
        <f t="shared" ref="D67:F67" si="17">SUM(D68:D69)</f>
        <v>-56</v>
      </c>
      <c r="E67" s="302">
        <f t="shared" si="17"/>
        <v>-30</v>
      </c>
      <c r="F67" s="302">
        <f t="shared" si="17"/>
        <v>-56</v>
      </c>
      <c r="G67" s="192">
        <f t="shared" si="6"/>
        <v>-26</v>
      </c>
      <c r="H67" s="74">
        <f t="shared" si="7"/>
        <v>186.66666666666666</v>
      </c>
      <c r="I67" s="70"/>
    </row>
    <row r="68" spans="1:9" s="20" customFormat="1" ht="32.25" customHeight="1">
      <c r="A68" s="300" t="s">
        <v>127</v>
      </c>
      <c r="B68" s="40">
        <v>1161</v>
      </c>
      <c r="C68" s="301" t="s">
        <v>184</v>
      </c>
      <c r="D68" s="301">
        <v>-56</v>
      </c>
      <c r="E68" s="301" t="s">
        <v>184</v>
      </c>
      <c r="F68" s="301">
        <f>D68</f>
        <v>-56</v>
      </c>
      <c r="G68" s="193">
        <f t="shared" si="6"/>
        <v>-56</v>
      </c>
      <c r="H68" s="78">
        <f t="shared" si="7"/>
        <v>0</v>
      </c>
      <c r="I68" s="41"/>
    </row>
    <row r="69" spans="1:9" s="20" customFormat="1" ht="32.25" customHeight="1">
      <c r="A69" s="300" t="s">
        <v>91</v>
      </c>
      <c r="B69" s="40">
        <v>1162</v>
      </c>
      <c r="C69" s="301">
        <f>-'Розшифровка фінрезультати'!D58</f>
        <v>-4260</v>
      </c>
      <c r="D69" s="301">
        <f>-'Розшифровка фінрезультати'!F58</f>
        <v>0</v>
      </c>
      <c r="E69" s="301">
        <f>-'Розшифровка фінрезультати'!E58</f>
        <v>-30</v>
      </c>
      <c r="F69" s="301">
        <f>D69</f>
        <v>0</v>
      </c>
      <c r="G69" s="193">
        <f t="shared" si="6"/>
        <v>30</v>
      </c>
      <c r="H69" s="78">
        <f t="shared" si="7"/>
        <v>0</v>
      </c>
      <c r="I69" s="41"/>
    </row>
    <row r="70" spans="1:9" s="20" customFormat="1" ht="32.25" customHeight="1">
      <c r="A70" s="285" t="s">
        <v>74</v>
      </c>
      <c r="B70" s="38">
        <v>1170</v>
      </c>
      <c r="C70" s="302">
        <f>SUM(C59,C60,C61,C62,C63,C64,C67)</f>
        <v>-14193</v>
      </c>
      <c r="D70" s="302">
        <f t="shared" ref="D70:F70" si="18">SUM(D59,D60,D61,D62,D63,D64,D67)</f>
        <v>-26437</v>
      </c>
      <c r="E70" s="302">
        <f>ROUNDDOWN(SUM(E59,E60,E61,E62,E63,E64,E67),0)</f>
        <v>0</v>
      </c>
      <c r="F70" s="302">
        <f t="shared" si="18"/>
        <v>-26437</v>
      </c>
      <c r="G70" s="192">
        <f t="shared" si="6"/>
        <v>-26437</v>
      </c>
      <c r="H70" s="74">
        <f t="shared" si="7"/>
        <v>0</v>
      </c>
      <c r="I70" s="39"/>
    </row>
    <row r="71" spans="1:9" s="20" customFormat="1" ht="32.25" customHeight="1">
      <c r="A71" s="300" t="s">
        <v>196</v>
      </c>
      <c r="B71" s="40">
        <v>1180</v>
      </c>
      <c r="C71" s="301" t="s">
        <v>184</v>
      </c>
      <c r="D71" s="301" t="s">
        <v>184</v>
      </c>
      <c r="E71" s="301" t="s">
        <v>184</v>
      </c>
      <c r="F71" s="301" t="s">
        <v>184</v>
      </c>
      <c r="G71" s="193">
        <f t="shared" si="6"/>
        <v>0</v>
      </c>
      <c r="H71" s="78">
        <f t="shared" si="7"/>
        <v>0</v>
      </c>
      <c r="I71" s="41"/>
    </row>
    <row r="72" spans="1:9" s="20" customFormat="1" ht="32.25" customHeight="1">
      <c r="A72" s="300" t="s">
        <v>197</v>
      </c>
      <c r="B72" s="40">
        <v>1181</v>
      </c>
      <c r="C72" s="301"/>
      <c r="D72" s="301"/>
      <c r="E72" s="301"/>
      <c r="F72" s="301"/>
      <c r="G72" s="193">
        <f t="shared" si="6"/>
        <v>0</v>
      </c>
      <c r="H72" s="78">
        <f t="shared" si="7"/>
        <v>0</v>
      </c>
      <c r="I72" s="41"/>
    </row>
    <row r="73" spans="1:9" s="20" customFormat="1" ht="32.25" customHeight="1">
      <c r="A73" s="300" t="s">
        <v>198</v>
      </c>
      <c r="B73" s="40">
        <v>1190</v>
      </c>
      <c r="C73" s="301"/>
      <c r="D73" s="301"/>
      <c r="E73" s="301"/>
      <c r="F73" s="301"/>
      <c r="G73" s="193">
        <f t="shared" si="6"/>
        <v>0</v>
      </c>
      <c r="H73" s="78">
        <f t="shared" si="7"/>
        <v>0</v>
      </c>
      <c r="I73" s="41"/>
    </row>
    <row r="74" spans="1:9" s="20" customFormat="1" ht="32.25" customHeight="1">
      <c r="A74" s="300" t="s">
        <v>199</v>
      </c>
      <c r="B74" s="40">
        <v>1191</v>
      </c>
      <c r="C74" s="301" t="s">
        <v>184</v>
      </c>
      <c r="D74" s="301" t="s">
        <v>184</v>
      </c>
      <c r="E74" s="301" t="s">
        <v>184</v>
      </c>
      <c r="F74" s="301" t="s">
        <v>184</v>
      </c>
      <c r="G74" s="193">
        <f t="shared" si="6"/>
        <v>0</v>
      </c>
      <c r="H74" s="78">
        <f t="shared" si="7"/>
        <v>0</v>
      </c>
      <c r="I74" s="41"/>
    </row>
    <row r="75" spans="1:9" s="20" customFormat="1" ht="32.25" customHeight="1">
      <c r="A75" s="70" t="s">
        <v>219</v>
      </c>
      <c r="B75" s="264">
        <v>1200</v>
      </c>
      <c r="C75" s="326">
        <f>SUM(C70,C71,C72,C73,C74)</f>
        <v>-14193</v>
      </c>
      <c r="D75" s="326">
        <f t="shared" ref="D75:F75" si="19">SUM(D70,D71,D72,D73,D74)</f>
        <v>-26437</v>
      </c>
      <c r="E75" s="326">
        <f t="shared" si="19"/>
        <v>0</v>
      </c>
      <c r="F75" s="326">
        <f t="shared" si="19"/>
        <v>-26437</v>
      </c>
      <c r="G75" s="192">
        <f t="shared" si="6"/>
        <v>-26437</v>
      </c>
      <c r="H75" s="74">
        <f t="shared" si="7"/>
        <v>0</v>
      </c>
      <c r="I75" s="70"/>
    </row>
    <row r="76" spans="1:9" s="20" customFormat="1" ht="32.25" customHeight="1">
      <c r="A76" s="300" t="s">
        <v>24</v>
      </c>
      <c r="B76" s="40">
        <v>1201</v>
      </c>
      <c r="C76" s="301" t="str">
        <f>IF(C75&gt;=0,C75,"")</f>
        <v/>
      </c>
      <c r="D76" s="301" t="str">
        <f t="shared" ref="D76:F76" si="20">IF(D75&gt;=0,D75,"")</f>
        <v/>
      </c>
      <c r="E76" s="301">
        <f t="shared" si="20"/>
        <v>0</v>
      </c>
      <c r="F76" s="301" t="str">
        <f t="shared" si="20"/>
        <v/>
      </c>
      <c r="G76" s="193">
        <f>IF(F76="",0,F76)-IF(E76="",0,E76)</f>
        <v>0</v>
      </c>
      <c r="H76" s="78">
        <f>IF(IF(E76="",0,E76)=0,0,IF(F76="",0,F76)/IF(E76="",0,E76))*100</f>
        <v>0</v>
      </c>
      <c r="I76" s="41"/>
    </row>
    <row r="77" spans="1:9" s="20" customFormat="1" ht="32.25" customHeight="1">
      <c r="A77" s="300" t="s">
        <v>25</v>
      </c>
      <c r="B77" s="40">
        <v>1202</v>
      </c>
      <c r="C77" s="301">
        <f>IF(C75&lt;0,C75,"")</f>
        <v>-14193</v>
      </c>
      <c r="D77" s="301">
        <f t="shared" ref="D77:F77" si="21">IF(D75&lt;0,D75,"")</f>
        <v>-26437</v>
      </c>
      <c r="E77" s="301" t="str">
        <f t="shared" si="21"/>
        <v/>
      </c>
      <c r="F77" s="301">
        <f t="shared" si="21"/>
        <v>-26437</v>
      </c>
      <c r="G77" s="193">
        <f>IF(F77="",0,F77)-IF(E77="",0,E77)</f>
        <v>-26437</v>
      </c>
      <c r="H77" s="78">
        <f>IF(IF(E77="",0,E77)=0,0,IF(F77="",0,F77)/IF(E77="",0,E77))*100</f>
        <v>0</v>
      </c>
      <c r="I77" s="41"/>
    </row>
    <row r="78" spans="1:9" s="20" customFormat="1" ht="32.25" customHeight="1">
      <c r="A78" s="70" t="s">
        <v>19</v>
      </c>
      <c r="B78" s="264">
        <v>1210</v>
      </c>
      <c r="C78" s="302">
        <f>SUM(C8,C48,C60,C62,C64,C72,C73)</f>
        <v>701507</v>
      </c>
      <c r="D78" s="302">
        <f>SUM(D8,D48,D60,D62,D64,D72,D73)</f>
        <v>870548</v>
      </c>
      <c r="E78" s="302">
        <f t="shared" ref="E78:F78" si="22">SUM(E8,E48,E60,E62,E64,E72,E73)</f>
        <v>1268431</v>
      </c>
      <c r="F78" s="302">
        <f t="shared" si="22"/>
        <v>870548</v>
      </c>
      <c r="G78" s="192">
        <f t="shared" ref="G78:G95" si="23">IF(F78="(    )",0,F78)-IF(E78="(    )",0,E78)</f>
        <v>-397883</v>
      </c>
      <c r="H78" s="74">
        <f t="shared" ref="H78:H95" si="24">IF(IF(E78="(    )",0,E78)=0,0,IF(F78="(    )",0,F78)/IF(E78="(    )",0,E78))*100</f>
        <v>68.631876704369404</v>
      </c>
      <c r="I78" s="70"/>
    </row>
    <row r="79" spans="1:9" s="20" customFormat="1" ht="32.25" customHeight="1">
      <c r="A79" s="70" t="s">
        <v>89</v>
      </c>
      <c r="B79" s="264">
        <v>1220</v>
      </c>
      <c r="C79" s="326">
        <f>SUM(C9,C19,C40,C52,C61,C63,C67,C71,C74)</f>
        <v>-715700</v>
      </c>
      <c r="D79" s="326">
        <f t="shared" ref="D79:F79" si="25">SUM(D9,D19,D40,D52,D61,D63,D67,D71,D74)</f>
        <v>-896985</v>
      </c>
      <c r="E79" s="326">
        <f t="shared" si="25"/>
        <v>-1268431</v>
      </c>
      <c r="F79" s="326">
        <f t="shared" si="25"/>
        <v>-896985</v>
      </c>
      <c r="G79" s="192">
        <f t="shared" si="23"/>
        <v>371446</v>
      </c>
      <c r="H79" s="74">
        <f t="shared" si="24"/>
        <v>70.716105172453211</v>
      </c>
      <c r="I79" s="70"/>
    </row>
    <row r="80" spans="1:9" s="20" customFormat="1" ht="32.25" customHeight="1">
      <c r="A80" s="300" t="s">
        <v>142</v>
      </c>
      <c r="B80" s="40">
        <v>1230</v>
      </c>
      <c r="C80" s="301"/>
      <c r="D80" s="301"/>
      <c r="E80" s="301"/>
      <c r="F80" s="301"/>
      <c r="G80" s="193">
        <f t="shared" si="23"/>
        <v>0</v>
      </c>
      <c r="H80" s="78">
        <f t="shared" si="24"/>
        <v>0</v>
      </c>
      <c r="I80" s="41"/>
    </row>
    <row r="81" spans="1:9" s="20" customFormat="1" ht="32.25" customHeight="1">
      <c r="A81" s="410" t="s">
        <v>106</v>
      </c>
      <c r="B81" s="411"/>
      <c r="C81" s="411"/>
      <c r="D81" s="411"/>
      <c r="E81" s="411"/>
      <c r="F81" s="411"/>
      <c r="G81" s="411"/>
      <c r="H81" s="411"/>
      <c r="I81" s="412"/>
    </row>
    <row r="82" spans="1:9" s="20" customFormat="1" ht="32.25" customHeight="1">
      <c r="A82" s="300" t="s">
        <v>151</v>
      </c>
      <c r="B82" s="40">
        <v>1300</v>
      </c>
      <c r="C82" s="301">
        <f t="shared" ref="C82:D82" si="26">C59</f>
        <v>-11125</v>
      </c>
      <c r="D82" s="301">
        <f t="shared" si="26"/>
        <v>-41075</v>
      </c>
      <c r="E82" s="301">
        <f t="shared" ref="E82" si="27">E59</f>
        <v>-6929</v>
      </c>
      <c r="F82" s="301">
        <f t="shared" ref="F82" si="28">F59</f>
        <v>-41075</v>
      </c>
      <c r="G82" s="193">
        <f t="shared" si="23"/>
        <v>-34146</v>
      </c>
      <c r="H82" s="78">
        <f t="shared" si="24"/>
        <v>592.79838360513781</v>
      </c>
      <c r="I82" s="41"/>
    </row>
    <row r="83" spans="1:9" s="20" customFormat="1" ht="32.25" customHeight="1">
      <c r="A83" s="300" t="s">
        <v>269</v>
      </c>
      <c r="B83" s="40">
        <v>1301</v>
      </c>
      <c r="C83" s="301">
        <f t="shared" ref="C83:D83" si="29">C93</f>
        <v>40417</v>
      </c>
      <c r="D83" s="301">
        <f t="shared" si="29"/>
        <v>49364</v>
      </c>
      <c r="E83" s="301">
        <f t="shared" ref="E83" si="30">E93</f>
        <v>46229</v>
      </c>
      <c r="F83" s="301">
        <f t="shared" ref="F83" si="31">F93</f>
        <v>49364</v>
      </c>
      <c r="G83" s="193">
        <f t="shared" si="23"/>
        <v>3135</v>
      </c>
      <c r="H83" s="78">
        <f t="shared" si="24"/>
        <v>106.78145752666074</v>
      </c>
      <c r="I83" s="41"/>
    </row>
    <row r="84" spans="1:9" s="20" customFormat="1" ht="32.25" customHeight="1">
      <c r="A84" s="300" t="s">
        <v>270</v>
      </c>
      <c r="B84" s="40">
        <v>1302</v>
      </c>
      <c r="C84" s="193">
        <f t="shared" ref="C84:D84" si="32">-C49</f>
        <v>0</v>
      </c>
      <c r="D84" s="193">
        <f t="shared" si="32"/>
        <v>0</v>
      </c>
      <c r="E84" s="193">
        <f t="shared" ref="E84" si="33">-E49</f>
        <v>0</v>
      </c>
      <c r="F84" s="193">
        <f t="shared" ref="F84" si="34">-F49</f>
        <v>0</v>
      </c>
      <c r="G84" s="193">
        <f t="shared" si="23"/>
        <v>0</v>
      </c>
      <c r="H84" s="78">
        <f t="shared" si="24"/>
        <v>0</v>
      </c>
      <c r="I84" s="41"/>
    </row>
    <row r="85" spans="1:9" s="20" customFormat="1" ht="32.25" customHeight="1">
      <c r="A85" s="300" t="s">
        <v>271</v>
      </c>
      <c r="B85" s="40">
        <v>1303</v>
      </c>
      <c r="C85" s="193">
        <f t="shared" ref="C85:D85" si="35">-IF(C53="(    )",0,C53)</f>
        <v>0</v>
      </c>
      <c r="D85" s="193">
        <f t="shared" si="35"/>
        <v>0</v>
      </c>
      <c r="E85" s="193">
        <f t="shared" ref="E85" si="36">-IF(E53="(    )",0,E53)</f>
        <v>0</v>
      </c>
      <c r="F85" s="193">
        <f t="shared" ref="F85" si="37">-IF(F53="(    )",0,F53)</f>
        <v>0</v>
      </c>
      <c r="G85" s="193">
        <f t="shared" si="23"/>
        <v>0</v>
      </c>
      <c r="H85" s="78">
        <f t="shared" si="24"/>
        <v>0</v>
      </c>
      <c r="I85" s="41"/>
    </row>
    <row r="86" spans="1:9" s="20" customFormat="1" ht="32.25" customHeight="1">
      <c r="A86" s="300" t="s">
        <v>272</v>
      </c>
      <c r="B86" s="40">
        <v>1304</v>
      </c>
      <c r="C86" s="193">
        <f t="shared" ref="C86:D86" si="38">-C50</f>
        <v>0</v>
      </c>
      <c r="D86" s="193">
        <f t="shared" si="38"/>
        <v>0</v>
      </c>
      <c r="E86" s="193">
        <f t="shared" ref="E86" si="39">-E50</f>
        <v>0</v>
      </c>
      <c r="F86" s="193">
        <f t="shared" ref="F86" si="40">-F50</f>
        <v>0</v>
      </c>
      <c r="G86" s="193">
        <f t="shared" si="23"/>
        <v>0</v>
      </c>
      <c r="H86" s="78">
        <f t="shared" si="24"/>
        <v>0</v>
      </c>
      <c r="I86" s="41"/>
    </row>
    <row r="87" spans="1:9" s="20" customFormat="1" ht="32.25" customHeight="1">
      <c r="A87" s="300" t="s">
        <v>273</v>
      </c>
      <c r="B87" s="40">
        <v>1305</v>
      </c>
      <c r="C87" s="301">
        <f t="shared" ref="C87:D87" si="41">-IF(C54="(    )",0,C54)</f>
        <v>0</v>
      </c>
      <c r="D87" s="301">
        <f t="shared" si="41"/>
        <v>0</v>
      </c>
      <c r="E87" s="301">
        <f t="shared" ref="E87" si="42">-IF(E54="(    )",0,E54)</f>
        <v>0</v>
      </c>
      <c r="F87" s="301">
        <f t="shared" ref="F87" si="43">-IF(F54="(    )",0,F54)</f>
        <v>0</v>
      </c>
      <c r="G87" s="193">
        <f t="shared" ref="G87:G88" si="44">IF(F87="(    )",0,F87)-IF(E87="(    )",0,E87)</f>
        <v>0</v>
      </c>
      <c r="H87" s="78">
        <f t="shared" ref="H87:H88" si="45">IF(IF(E87="(    )",0,E87)=0,0,IF(F87="(    )",0,F87)/IF(E87="(    )",0,E87))*100</f>
        <v>0</v>
      </c>
      <c r="I87" s="41"/>
    </row>
    <row r="88" spans="1:9" s="20" customFormat="1" ht="32.25" customHeight="1">
      <c r="A88" s="70" t="s">
        <v>100</v>
      </c>
      <c r="B88" s="264">
        <v>1310</v>
      </c>
      <c r="C88" s="327">
        <f>SUM(C82:C87)</f>
        <v>29292</v>
      </c>
      <c r="D88" s="327">
        <f t="shared" ref="D88:F88" si="46">SUM(D82:D87)</f>
        <v>8289</v>
      </c>
      <c r="E88" s="327">
        <f>ROUNDUP(SUM(E82:E87),0)</f>
        <v>39300</v>
      </c>
      <c r="F88" s="327">
        <f t="shared" si="46"/>
        <v>8289</v>
      </c>
      <c r="G88" s="192">
        <f t="shared" si="44"/>
        <v>-31011</v>
      </c>
      <c r="H88" s="74">
        <f t="shared" si="45"/>
        <v>21.091603053435115</v>
      </c>
      <c r="I88" s="70"/>
    </row>
    <row r="89" spans="1:9" s="20" customFormat="1" ht="32.25" customHeight="1">
      <c r="A89" s="285" t="s">
        <v>133</v>
      </c>
      <c r="B89" s="38"/>
      <c r="C89" s="302"/>
      <c r="D89" s="302"/>
      <c r="E89" s="302"/>
      <c r="F89" s="302"/>
      <c r="G89" s="192"/>
      <c r="H89" s="74"/>
      <c r="I89" s="39"/>
    </row>
    <row r="90" spans="1:9" s="20" customFormat="1" ht="32.25" customHeight="1">
      <c r="A90" s="300" t="s">
        <v>412</v>
      </c>
      <c r="B90" s="40">
        <v>1400</v>
      </c>
      <c r="C90" s="301">
        <v>268191</v>
      </c>
      <c r="D90" s="301">
        <v>325573</v>
      </c>
      <c r="E90" s="301">
        <v>601208</v>
      </c>
      <c r="F90" s="301">
        <f>D90</f>
        <v>325573</v>
      </c>
      <c r="G90" s="193">
        <f t="shared" si="23"/>
        <v>-275635</v>
      </c>
      <c r="H90" s="78">
        <f t="shared" si="24"/>
        <v>54.153138348125772</v>
      </c>
      <c r="I90" s="41"/>
    </row>
    <row r="91" spans="1:9" s="20" customFormat="1" ht="32.25" customHeight="1">
      <c r="A91" s="300" t="s">
        <v>5</v>
      </c>
      <c r="B91" s="40">
        <v>1410</v>
      </c>
      <c r="C91" s="301">
        <v>295325</v>
      </c>
      <c r="D91" s="301">
        <v>365924</v>
      </c>
      <c r="E91" s="301">
        <v>408816</v>
      </c>
      <c r="F91" s="301">
        <f t="shared" ref="F91:F94" si="47">D91</f>
        <v>365924</v>
      </c>
      <c r="G91" s="193">
        <f t="shared" si="23"/>
        <v>-42892</v>
      </c>
      <c r="H91" s="78">
        <f t="shared" si="24"/>
        <v>89.508238425110562</v>
      </c>
      <c r="I91" s="41"/>
    </row>
    <row r="92" spans="1:9" s="20" customFormat="1" ht="32.25" customHeight="1">
      <c r="A92" s="300" t="s">
        <v>6</v>
      </c>
      <c r="B92" s="40">
        <v>1420</v>
      </c>
      <c r="C92" s="301">
        <v>70337</v>
      </c>
      <c r="D92" s="301">
        <v>86423</v>
      </c>
      <c r="E92" s="301">
        <v>98295</v>
      </c>
      <c r="F92" s="301">
        <f t="shared" si="47"/>
        <v>86423</v>
      </c>
      <c r="G92" s="193">
        <f t="shared" si="23"/>
        <v>-11872</v>
      </c>
      <c r="H92" s="78">
        <f t="shared" si="24"/>
        <v>87.922071315936719</v>
      </c>
      <c r="I92" s="41"/>
    </row>
    <row r="93" spans="1:9" s="20" customFormat="1" ht="32.25" customHeight="1">
      <c r="A93" s="300" t="s">
        <v>7</v>
      </c>
      <c r="B93" s="40">
        <v>1430</v>
      </c>
      <c r="C93" s="301">
        <v>40417</v>
      </c>
      <c r="D93" s="301">
        <v>49364</v>
      </c>
      <c r="E93" s="301">
        <v>46229</v>
      </c>
      <c r="F93" s="301">
        <f t="shared" si="47"/>
        <v>49364</v>
      </c>
      <c r="G93" s="193">
        <f t="shared" si="23"/>
        <v>3135</v>
      </c>
      <c r="H93" s="78">
        <f t="shared" si="24"/>
        <v>106.78145752666074</v>
      </c>
      <c r="I93" s="41"/>
    </row>
    <row r="94" spans="1:9" s="20" customFormat="1" ht="32.25" customHeight="1">
      <c r="A94" s="300" t="s">
        <v>27</v>
      </c>
      <c r="B94" s="40">
        <v>1440</v>
      </c>
      <c r="C94" s="301">
        <v>29722</v>
      </c>
      <c r="D94" s="301">
        <v>72790</v>
      </c>
      <c r="E94" s="301">
        <v>113736</v>
      </c>
      <c r="F94" s="301">
        <f t="shared" si="47"/>
        <v>72790</v>
      </c>
      <c r="G94" s="193">
        <f t="shared" si="23"/>
        <v>-40946</v>
      </c>
      <c r="H94" s="78">
        <f t="shared" si="24"/>
        <v>63.99908560174439</v>
      </c>
      <c r="I94" s="41"/>
    </row>
    <row r="95" spans="1:9" s="20" customFormat="1" ht="32.25" customHeight="1">
      <c r="A95" s="70" t="s">
        <v>50</v>
      </c>
      <c r="B95" s="138">
        <v>1450</v>
      </c>
      <c r="C95" s="326">
        <f>SUM(C90,C91:C94)</f>
        <v>703992</v>
      </c>
      <c r="D95" s="326">
        <f>SUM(D90,D91:D94)</f>
        <v>900074</v>
      </c>
      <c r="E95" s="326">
        <f>SUM(E90,E91:E94)</f>
        <v>1268284</v>
      </c>
      <c r="F95" s="326">
        <f>SUM(F90,F91:F94)</f>
        <v>900074</v>
      </c>
      <c r="G95" s="192">
        <f t="shared" si="23"/>
        <v>-368210</v>
      </c>
      <c r="H95" s="74">
        <f t="shared" si="24"/>
        <v>70.96785893380347</v>
      </c>
      <c r="I95" s="70"/>
    </row>
    <row r="96" spans="1:9" s="20" customFormat="1" ht="162.6" customHeight="1">
      <c r="A96" s="42"/>
      <c r="B96" s="43"/>
      <c r="C96" s="43"/>
      <c r="D96" s="43"/>
      <c r="E96" s="43"/>
      <c r="F96" s="43"/>
      <c r="G96" s="43"/>
      <c r="H96" s="43"/>
      <c r="I96" s="43"/>
    </row>
    <row r="97" spans="1:9" s="52" customFormat="1" ht="31.2" customHeight="1">
      <c r="A97" s="405" t="s">
        <v>523</v>
      </c>
      <c r="B97" s="405"/>
      <c r="C97" s="282"/>
      <c r="D97" s="406" t="s">
        <v>80</v>
      </c>
      <c r="E97" s="406"/>
      <c r="F97" s="171"/>
      <c r="H97" s="299" t="s">
        <v>524</v>
      </c>
      <c r="I97" s="299"/>
    </row>
    <row r="98" spans="1:9" s="106" customFormat="1" hidden="1">
      <c r="A98" s="281" t="s">
        <v>357</v>
      </c>
      <c r="C98" s="395" t="s">
        <v>66</v>
      </c>
      <c r="D98" s="395"/>
      <c r="F98" s="395" t="s">
        <v>171</v>
      </c>
      <c r="G98" s="395"/>
      <c r="H98" s="395"/>
    </row>
    <row r="99" spans="1:9">
      <c r="A99" s="1"/>
    </row>
    <row r="100" spans="1:9">
      <c r="A100" s="1"/>
    </row>
    <row r="101" spans="1:9">
      <c r="A101" s="1"/>
    </row>
    <row r="102" spans="1:9">
      <c r="A102" s="1"/>
    </row>
    <row r="103" spans="1:9">
      <c r="A103" s="1"/>
    </row>
    <row r="104" spans="1:9">
      <c r="A104" s="1"/>
    </row>
    <row r="105" spans="1:9">
      <c r="A105" s="1"/>
    </row>
    <row r="106" spans="1:9">
      <c r="A106" s="1"/>
    </row>
    <row r="107" spans="1:9">
      <c r="A107" s="1"/>
    </row>
    <row r="108" spans="1:9">
      <c r="A108" s="1"/>
    </row>
    <row r="109" spans="1:9">
      <c r="A109" s="1"/>
    </row>
    <row r="110" spans="1:9">
      <c r="A110" s="1"/>
    </row>
    <row r="111" spans="1:9">
      <c r="A111" s="1"/>
    </row>
    <row r="112" spans="1:9">
      <c r="A112" s="1"/>
    </row>
    <row r="113" spans="1:1">
      <c r="A113" s="1"/>
    </row>
    <row r="114" spans="1:1">
      <c r="A114" s="1"/>
    </row>
    <row r="115" spans="1:1">
      <c r="A115" s="1"/>
    </row>
    <row r="116" spans="1:1">
      <c r="A116" s="1"/>
    </row>
    <row r="117" spans="1:1">
      <c r="A117" s="1"/>
    </row>
    <row r="118" spans="1:1">
      <c r="A118" s="1"/>
    </row>
    <row r="119" spans="1:1">
      <c r="A119" s="1"/>
    </row>
    <row r="120" spans="1:1">
      <c r="A120" s="1"/>
    </row>
    <row r="121" spans="1:1">
      <c r="A121" s="1"/>
    </row>
    <row r="122" spans="1:1">
      <c r="A122" s="1"/>
    </row>
    <row r="123" spans="1:1">
      <c r="A123" s="1"/>
    </row>
    <row r="124" spans="1:1">
      <c r="A124" s="1"/>
    </row>
    <row r="125" spans="1:1">
      <c r="A125" s="1"/>
    </row>
    <row r="126" spans="1:1">
      <c r="A126" s="1"/>
    </row>
    <row r="127" spans="1:1">
      <c r="A127" s="1"/>
    </row>
    <row r="128" spans="1:1">
      <c r="A128" s="1"/>
    </row>
    <row r="129" spans="1:1">
      <c r="A129" s="1"/>
    </row>
    <row r="130" spans="1:1">
      <c r="A130" s="1"/>
    </row>
    <row r="131" spans="1:1">
      <c r="A131" s="1"/>
    </row>
    <row r="132" spans="1:1">
      <c r="A132" s="1"/>
    </row>
    <row r="133" spans="1:1">
      <c r="A133" s="1"/>
    </row>
    <row r="134" spans="1:1">
      <c r="A134" s="1"/>
    </row>
    <row r="135" spans="1:1">
      <c r="A135" s="1"/>
    </row>
    <row r="136" spans="1:1">
      <c r="A136" s="1"/>
    </row>
    <row r="137" spans="1:1">
      <c r="A137" s="1"/>
    </row>
    <row r="138" spans="1:1">
      <c r="A138" s="1"/>
    </row>
    <row r="139" spans="1:1">
      <c r="A139" s="1"/>
    </row>
    <row r="140" spans="1:1">
      <c r="A140" s="1"/>
    </row>
    <row r="141" spans="1:1">
      <c r="A141" s="1"/>
    </row>
    <row r="142" spans="1:1">
      <c r="A142" s="1"/>
    </row>
    <row r="143" spans="1:1">
      <c r="A143" s="1"/>
    </row>
    <row r="144" spans="1:1">
      <c r="A144" s="1"/>
    </row>
    <row r="145" spans="1:1">
      <c r="A145" s="1"/>
    </row>
    <row r="146" spans="1:1">
      <c r="A146" s="1"/>
    </row>
    <row r="147" spans="1:1">
      <c r="A147" s="1"/>
    </row>
    <row r="148" spans="1:1">
      <c r="A148" s="1"/>
    </row>
    <row r="149" spans="1:1">
      <c r="A149" s="1"/>
    </row>
    <row r="150" spans="1:1">
      <c r="A150" s="1"/>
    </row>
    <row r="151" spans="1:1">
      <c r="A151" s="1"/>
    </row>
    <row r="152" spans="1:1">
      <c r="A152" s="1"/>
    </row>
    <row r="153" spans="1:1">
      <c r="A153" s="1"/>
    </row>
    <row r="154" spans="1:1">
      <c r="A154" s="1"/>
    </row>
    <row r="155" spans="1:1">
      <c r="A155" s="1"/>
    </row>
    <row r="156" spans="1:1">
      <c r="A156" s="1"/>
    </row>
    <row r="157" spans="1:1">
      <c r="A157" s="105"/>
    </row>
    <row r="158" spans="1:1">
      <c r="A158" s="105"/>
    </row>
    <row r="159" spans="1:1">
      <c r="A159" s="105"/>
    </row>
    <row r="160" spans="1:1">
      <c r="A160" s="105"/>
    </row>
    <row r="161" spans="1:1">
      <c r="A161" s="105"/>
    </row>
    <row r="162" spans="1:1">
      <c r="A162" s="105"/>
    </row>
    <row r="163" spans="1:1">
      <c r="A163" s="105"/>
    </row>
    <row r="164" spans="1:1">
      <c r="A164" s="105"/>
    </row>
    <row r="165" spans="1:1">
      <c r="A165" s="105"/>
    </row>
    <row r="166" spans="1:1">
      <c r="A166" s="105"/>
    </row>
    <row r="167" spans="1:1">
      <c r="A167" s="105"/>
    </row>
    <row r="168" spans="1:1">
      <c r="A168" s="105"/>
    </row>
    <row r="169" spans="1:1">
      <c r="A169" s="105"/>
    </row>
    <row r="170" spans="1:1">
      <c r="A170" s="105"/>
    </row>
    <row r="171" spans="1:1">
      <c r="A171" s="105"/>
    </row>
    <row r="172" spans="1:1">
      <c r="A172" s="105"/>
    </row>
    <row r="173" spans="1:1">
      <c r="A173" s="105"/>
    </row>
    <row r="174" spans="1:1">
      <c r="A174" s="105"/>
    </row>
    <row r="175" spans="1:1">
      <c r="A175" s="105"/>
    </row>
    <row r="176" spans="1:1">
      <c r="A176" s="105"/>
    </row>
    <row r="177" spans="1:1">
      <c r="A177" s="105"/>
    </row>
    <row r="178" spans="1:1">
      <c r="A178" s="105"/>
    </row>
    <row r="179" spans="1:1">
      <c r="A179" s="105"/>
    </row>
    <row r="180" spans="1:1">
      <c r="A180" s="105"/>
    </row>
    <row r="181" spans="1:1">
      <c r="A181" s="105"/>
    </row>
    <row r="182" spans="1:1">
      <c r="A182" s="105"/>
    </row>
    <row r="183" spans="1:1">
      <c r="A183" s="105"/>
    </row>
    <row r="184" spans="1:1">
      <c r="A184" s="105"/>
    </row>
    <row r="185" spans="1:1">
      <c r="A185" s="105"/>
    </row>
    <row r="186" spans="1:1">
      <c r="A186" s="105"/>
    </row>
    <row r="187" spans="1:1">
      <c r="A187" s="105"/>
    </row>
    <row r="188" spans="1:1">
      <c r="A188" s="105"/>
    </row>
    <row r="189" spans="1:1">
      <c r="A189" s="105"/>
    </row>
    <row r="190" spans="1:1">
      <c r="A190" s="105"/>
    </row>
    <row r="191" spans="1:1">
      <c r="A191" s="105"/>
    </row>
    <row r="192" spans="1:1">
      <c r="A192" s="105"/>
    </row>
    <row r="193" spans="1:1">
      <c r="A193" s="105"/>
    </row>
    <row r="194" spans="1:1">
      <c r="A194" s="105"/>
    </row>
    <row r="195" spans="1:1">
      <c r="A195" s="105"/>
    </row>
    <row r="196" spans="1:1">
      <c r="A196" s="105"/>
    </row>
    <row r="197" spans="1:1">
      <c r="A197" s="105"/>
    </row>
    <row r="198" spans="1:1">
      <c r="A198" s="105"/>
    </row>
    <row r="199" spans="1:1">
      <c r="A199" s="105"/>
    </row>
    <row r="200" spans="1:1">
      <c r="A200" s="105"/>
    </row>
    <row r="201" spans="1:1">
      <c r="A201" s="105"/>
    </row>
    <row r="202" spans="1:1">
      <c r="A202" s="105"/>
    </row>
    <row r="203" spans="1:1">
      <c r="A203" s="105"/>
    </row>
    <row r="204" spans="1:1">
      <c r="A204" s="105"/>
    </row>
    <row r="205" spans="1:1">
      <c r="A205" s="105"/>
    </row>
    <row r="206" spans="1:1">
      <c r="A206" s="105"/>
    </row>
    <row r="207" spans="1:1">
      <c r="A207" s="105"/>
    </row>
    <row r="208" spans="1:1">
      <c r="A208" s="105"/>
    </row>
    <row r="209" spans="1:1">
      <c r="A209" s="105"/>
    </row>
    <row r="210" spans="1:1">
      <c r="A210" s="105"/>
    </row>
    <row r="211" spans="1:1">
      <c r="A211" s="105"/>
    </row>
    <row r="212" spans="1:1">
      <c r="A212" s="105"/>
    </row>
    <row r="213" spans="1:1">
      <c r="A213" s="105"/>
    </row>
    <row r="214" spans="1:1">
      <c r="A214" s="105"/>
    </row>
    <row r="215" spans="1:1">
      <c r="A215" s="105"/>
    </row>
    <row r="216" spans="1:1">
      <c r="A216" s="105"/>
    </row>
    <row r="217" spans="1:1">
      <c r="A217" s="105"/>
    </row>
    <row r="218" spans="1:1">
      <c r="A218" s="105"/>
    </row>
    <row r="219" spans="1:1">
      <c r="A219" s="105"/>
    </row>
    <row r="220" spans="1:1">
      <c r="A220" s="105"/>
    </row>
    <row r="221" spans="1:1">
      <c r="A221" s="105"/>
    </row>
    <row r="222" spans="1:1">
      <c r="A222" s="105"/>
    </row>
    <row r="223" spans="1:1">
      <c r="A223" s="105"/>
    </row>
    <row r="224" spans="1:1">
      <c r="A224" s="105"/>
    </row>
    <row r="225" spans="1:1">
      <c r="A225" s="105"/>
    </row>
    <row r="226" spans="1:1">
      <c r="A226" s="105"/>
    </row>
    <row r="227" spans="1:1">
      <c r="A227" s="105"/>
    </row>
    <row r="228" spans="1:1">
      <c r="A228" s="105"/>
    </row>
    <row r="229" spans="1:1">
      <c r="A229" s="105"/>
    </row>
    <row r="230" spans="1:1">
      <c r="A230" s="105"/>
    </row>
    <row r="231" spans="1:1">
      <c r="A231" s="105"/>
    </row>
    <row r="232" spans="1:1">
      <c r="A232" s="105"/>
    </row>
    <row r="233" spans="1:1">
      <c r="A233" s="105"/>
    </row>
    <row r="234" spans="1:1">
      <c r="A234" s="105"/>
    </row>
    <row r="235" spans="1:1">
      <c r="A235" s="105"/>
    </row>
    <row r="236" spans="1:1">
      <c r="A236" s="105"/>
    </row>
    <row r="237" spans="1:1">
      <c r="A237" s="105"/>
    </row>
    <row r="238" spans="1:1">
      <c r="A238" s="105"/>
    </row>
    <row r="239" spans="1:1">
      <c r="A239" s="105"/>
    </row>
    <row r="240" spans="1:1">
      <c r="A240" s="105"/>
    </row>
    <row r="241" spans="1:1">
      <c r="A241" s="105"/>
    </row>
    <row r="242" spans="1:1">
      <c r="A242" s="105"/>
    </row>
    <row r="243" spans="1:1">
      <c r="A243" s="105"/>
    </row>
    <row r="244" spans="1:1">
      <c r="A244" s="105"/>
    </row>
    <row r="245" spans="1:1">
      <c r="A245" s="105"/>
    </row>
    <row r="246" spans="1:1">
      <c r="A246" s="105"/>
    </row>
    <row r="247" spans="1:1">
      <c r="A247" s="105"/>
    </row>
    <row r="248" spans="1:1">
      <c r="A248" s="105"/>
    </row>
    <row r="249" spans="1:1">
      <c r="A249" s="105"/>
    </row>
    <row r="250" spans="1:1">
      <c r="A250" s="105"/>
    </row>
    <row r="251" spans="1:1">
      <c r="A251" s="105"/>
    </row>
    <row r="252" spans="1:1">
      <c r="A252" s="105"/>
    </row>
    <row r="253" spans="1:1">
      <c r="A253" s="105"/>
    </row>
    <row r="254" spans="1:1">
      <c r="A254" s="105"/>
    </row>
    <row r="255" spans="1:1">
      <c r="A255" s="105"/>
    </row>
    <row r="256" spans="1:1">
      <c r="A256" s="105"/>
    </row>
    <row r="257" spans="1:1">
      <c r="A257" s="105"/>
    </row>
    <row r="258" spans="1:1">
      <c r="A258" s="105"/>
    </row>
    <row r="259" spans="1:1">
      <c r="A259" s="105"/>
    </row>
    <row r="260" spans="1:1">
      <c r="A260" s="105"/>
    </row>
    <row r="261" spans="1:1">
      <c r="A261" s="105"/>
    </row>
    <row r="262" spans="1:1">
      <c r="A262" s="105"/>
    </row>
    <row r="263" spans="1:1">
      <c r="A263" s="105"/>
    </row>
    <row r="264" spans="1:1">
      <c r="A264" s="105"/>
    </row>
    <row r="265" spans="1:1">
      <c r="A265" s="105"/>
    </row>
    <row r="266" spans="1:1">
      <c r="A266" s="105"/>
    </row>
    <row r="267" spans="1:1">
      <c r="A267" s="105"/>
    </row>
    <row r="268" spans="1:1">
      <c r="A268" s="105"/>
    </row>
    <row r="269" spans="1:1">
      <c r="A269" s="105"/>
    </row>
    <row r="270" spans="1:1">
      <c r="A270" s="105"/>
    </row>
    <row r="271" spans="1:1">
      <c r="A271" s="105"/>
    </row>
    <row r="272" spans="1:1">
      <c r="A272" s="105"/>
    </row>
    <row r="273" spans="1:1">
      <c r="A273" s="105"/>
    </row>
    <row r="274" spans="1:1">
      <c r="A274" s="105"/>
    </row>
    <row r="275" spans="1:1">
      <c r="A275" s="105"/>
    </row>
    <row r="276" spans="1:1">
      <c r="A276" s="105"/>
    </row>
    <row r="277" spans="1:1">
      <c r="A277" s="105"/>
    </row>
    <row r="278" spans="1:1">
      <c r="A278" s="105"/>
    </row>
    <row r="279" spans="1:1">
      <c r="A279" s="105"/>
    </row>
    <row r="280" spans="1:1">
      <c r="A280" s="105"/>
    </row>
    <row r="281" spans="1:1">
      <c r="A281" s="105"/>
    </row>
    <row r="282" spans="1:1">
      <c r="A282" s="105"/>
    </row>
    <row r="283" spans="1:1">
      <c r="A283" s="105"/>
    </row>
    <row r="284" spans="1:1">
      <c r="A284" s="105"/>
    </row>
    <row r="285" spans="1:1">
      <c r="A285" s="105"/>
    </row>
    <row r="286" spans="1:1">
      <c r="A286" s="105"/>
    </row>
    <row r="287" spans="1:1">
      <c r="A287" s="105"/>
    </row>
    <row r="288" spans="1:1">
      <c r="A288" s="105"/>
    </row>
    <row r="289" spans="1:1">
      <c r="A289" s="105"/>
    </row>
    <row r="290" spans="1:1">
      <c r="A290" s="105"/>
    </row>
    <row r="291" spans="1:1">
      <c r="A291" s="105"/>
    </row>
    <row r="292" spans="1:1">
      <c r="A292" s="105"/>
    </row>
    <row r="293" spans="1:1">
      <c r="A293" s="105"/>
    </row>
    <row r="294" spans="1:1">
      <c r="A294" s="105"/>
    </row>
    <row r="295" spans="1:1">
      <c r="A295" s="105"/>
    </row>
    <row r="296" spans="1:1">
      <c r="A296" s="105"/>
    </row>
    <row r="297" spans="1:1">
      <c r="A297" s="105"/>
    </row>
    <row r="298" spans="1:1">
      <c r="A298" s="105"/>
    </row>
    <row r="299" spans="1:1">
      <c r="A299" s="105"/>
    </row>
    <row r="300" spans="1:1">
      <c r="A300" s="105"/>
    </row>
    <row r="301" spans="1:1">
      <c r="A301" s="105"/>
    </row>
    <row r="302" spans="1:1">
      <c r="A302" s="105"/>
    </row>
    <row r="303" spans="1:1">
      <c r="A303" s="105"/>
    </row>
    <row r="304" spans="1:1">
      <c r="A304" s="105"/>
    </row>
    <row r="305" spans="1:1">
      <c r="A305" s="105"/>
    </row>
    <row r="306" spans="1:1">
      <c r="A306" s="105"/>
    </row>
    <row r="307" spans="1:1">
      <c r="A307" s="105"/>
    </row>
    <row r="308" spans="1:1">
      <c r="A308" s="105"/>
    </row>
    <row r="309" spans="1:1">
      <c r="A309" s="105"/>
    </row>
    <row r="310" spans="1:1">
      <c r="A310" s="105"/>
    </row>
    <row r="311" spans="1:1">
      <c r="A311" s="105"/>
    </row>
    <row r="312" spans="1:1">
      <c r="A312" s="105"/>
    </row>
    <row r="313" spans="1:1">
      <c r="A313" s="105"/>
    </row>
    <row r="314" spans="1:1">
      <c r="A314" s="105"/>
    </row>
    <row r="315" spans="1:1">
      <c r="A315" s="105"/>
    </row>
    <row r="316" spans="1:1">
      <c r="A316" s="105"/>
    </row>
    <row r="317" spans="1:1">
      <c r="A317" s="105"/>
    </row>
    <row r="318" spans="1:1">
      <c r="A318" s="105"/>
    </row>
    <row r="319" spans="1:1">
      <c r="A319" s="105"/>
    </row>
    <row r="320" spans="1:1">
      <c r="A320" s="105"/>
    </row>
    <row r="321" spans="1:1">
      <c r="A321" s="105"/>
    </row>
    <row r="322" spans="1:1">
      <c r="A322" s="105"/>
    </row>
    <row r="323" spans="1:1">
      <c r="A323" s="105"/>
    </row>
  </sheetData>
  <mergeCells count="11">
    <mergeCell ref="C98:D98"/>
    <mergeCell ref="F98:H98"/>
    <mergeCell ref="A2:I2"/>
    <mergeCell ref="C4:D4"/>
    <mergeCell ref="E4:I4"/>
    <mergeCell ref="B4:B5"/>
    <mergeCell ref="A4:A5"/>
    <mergeCell ref="A7:I7"/>
    <mergeCell ref="A81:I81"/>
    <mergeCell ref="A97:B97"/>
    <mergeCell ref="D97:E97"/>
  </mergeCells>
  <phoneticPr fontId="0" type="noConversion"/>
  <printOptions horizontalCentered="1"/>
  <pageMargins left="0.59055118110236227" right="0.59055118110236227" top="0.98425196850393704" bottom="0.59055118110236227" header="0" footer="0"/>
  <pageSetup paperSize="9" scale="49" fitToHeight="0" orientation="landscape" blackAndWhite="1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2:K241"/>
  <sheetViews>
    <sheetView view="pageBreakPreview" topLeftCell="A75" zoomScale="70" zoomScaleNormal="70" zoomScaleSheetLayoutView="70" workbookViewId="0">
      <selection activeCell="F80" sqref="F80:F91"/>
    </sheetView>
  </sheetViews>
  <sheetFormatPr defaultColWidth="9.109375" defaultRowHeight="18"/>
  <cols>
    <col min="1" max="1" width="9.109375" style="305"/>
    <col min="2" max="2" width="58" style="305" customWidth="1"/>
    <col min="3" max="3" width="12.88671875" style="306" customWidth="1"/>
    <col min="4" max="4" width="15.6640625" style="242" customWidth="1"/>
    <col min="5" max="5" width="18" style="306" customWidth="1"/>
    <col min="6" max="6" width="16.6640625" style="306" customWidth="1"/>
    <col min="7" max="8" width="16.33203125" style="306" customWidth="1"/>
    <col min="9" max="10" width="9.109375" style="305"/>
    <col min="11" max="11" width="10.109375" style="305" bestFit="1" customWidth="1"/>
    <col min="12" max="12" width="9.109375" style="305"/>
    <col min="13" max="13" width="10.109375" style="305" bestFit="1" customWidth="1"/>
    <col min="14" max="16384" width="9.109375" style="305"/>
  </cols>
  <sheetData>
    <row r="2" spans="1:8">
      <c r="B2" s="413" t="s">
        <v>397</v>
      </c>
      <c r="C2" s="413"/>
      <c r="D2" s="413"/>
      <c r="E2" s="413"/>
      <c r="F2" s="413"/>
      <c r="G2" s="413"/>
      <c r="H2" s="413"/>
    </row>
    <row r="3" spans="1:8">
      <c r="B3" s="286"/>
      <c r="C3" s="90"/>
      <c r="D3" s="244"/>
      <c r="E3" s="286"/>
      <c r="F3" s="286"/>
      <c r="G3" s="286"/>
      <c r="H3" s="90" t="s">
        <v>423</v>
      </c>
    </row>
    <row r="4" spans="1:8" ht="54.6" customHeight="1">
      <c r="A4" s="418" t="s">
        <v>152</v>
      </c>
      <c r="B4" s="418"/>
      <c r="C4" s="304" t="s">
        <v>18</v>
      </c>
      <c r="D4" s="328" t="s">
        <v>706</v>
      </c>
      <c r="E4" s="304" t="s">
        <v>707</v>
      </c>
      <c r="F4" s="304" t="s">
        <v>708</v>
      </c>
      <c r="G4" s="304" t="s">
        <v>410</v>
      </c>
      <c r="H4" s="172" t="s">
        <v>421</v>
      </c>
    </row>
    <row r="5" spans="1:8" ht="18" customHeight="1">
      <c r="A5" s="418">
        <v>1</v>
      </c>
      <c r="B5" s="418"/>
      <c r="C5" s="304">
        <v>2</v>
      </c>
      <c r="D5" s="255">
        <v>3</v>
      </c>
      <c r="E5" s="304">
        <v>4</v>
      </c>
      <c r="F5" s="304">
        <v>5</v>
      </c>
      <c r="G5" s="304">
        <v>6</v>
      </c>
      <c r="H5" s="304">
        <v>7</v>
      </c>
    </row>
    <row r="6" spans="1:8" ht="23.25" customHeight="1">
      <c r="A6" s="414" t="s">
        <v>431</v>
      </c>
      <c r="B6" s="414"/>
      <c r="C6" s="414"/>
      <c r="D6" s="414"/>
      <c r="E6" s="414"/>
      <c r="F6" s="414"/>
      <c r="G6" s="414"/>
      <c r="H6" s="414"/>
    </row>
    <row r="7" spans="1:8" ht="55.8" customHeight="1">
      <c r="A7" s="304"/>
      <c r="B7" s="297" t="s">
        <v>432</v>
      </c>
      <c r="C7" s="298" t="s">
        <v>433</v>
      </c>
      <c r="D7" s="204">
        <f>SUM(D8:D27)</f>
        <v>12218</v>
      </c>
      <c r="E7" s="204">
        <f>SUM(E8:E27)</f>
        <v>12881</v>
      </c>
      <c r="F7" s="204">
        <f>SUM(F8:F27)</f>
        <v>17315</v>
      </c>
      <c r="G7" s="204">
        <f>F7-E7</f>
        <v>4434</v>
      </c>
      <c r="H7" s="158">
        <f>(F7/E7)*100</f>
        <v>134.42279326139274</v>
      </c>
    </row>
    <row r="8" spans="1:8" ht="22.5" customHeight="1">
      <c r="A8" s="159">
        <v>1</v>
      </c>
      <c r="B8" s="162" t="s">
        <v>441</v>
      </c>
      <c r="C8" s="162"/>
      <c r="D8" s="229">
        <v>42</v>
      </c>
      <c r="E8" s="202">
        <v>82</v>
      </c>
      <c r="F8" s="202">
        <v>21</v>
      </c>
      <c r="G8" s="202">
        <f>F8-E8</f>
        <v>-61</v>
      </c>
      <c r="H8" s="161">
        <f>(F8/E8)*100</f>
        <v>25.609756097560975</v>
      </c>
    </row>
    <row r="9" spans="1:8" s="20" customFormat="1" ht="20.399999999999999" customHeight="1">
      <c r="A9" s="159">
        <v>2</v>
      </c>
      <c r="B9" s="160" t="s">
        <v>439</v>
      </c>
      <c r="C9" s="160"/>
      <c r="D9" s="229">
        <v>193</v>
      </c>
      <c r="E9" s="202">
        <v>243</v>
      </c>
      <c r="F9" s="202">
        <v>98</v>
      </c>
      <c r="G9" s="202">
        <f>F9-E9</f>
        <v>-145</v>
      </c>
      <c r="H9" s="161">
        <f>(F9/E9)*100</f>
        <v>40.329218106995881</v>
      </c>
    </row>
    <row r="10" spans="1:8" s="20" customFormat="1" ht="19.2" customHeight="1">
      <c r="A10" s="159">
        <v>3</v>
      </c>
      <c r="B10" s="160" t="s">
        <v>443</v>
      </c>
      <c r="C10" s="162"/>
      <c r="D10" s="229">
        <v>59</v>
      </c>
      <c r="E10" s="202"/>
      <c r="F10" s="202"/>
      <c r="G10" s="202">
        <f>F10-E10</f>
        <v>0</v>
      </c>
      <c r="H10" s="161"/>
    </row>
    <row r="11" spans="1:8" s="20" customFormat="1" ht="19.95" customHeight="1">
      <c r="A11" s="159">
        <v>5</v>
      </c>
      <c r="B11" s="162" t="s">
        <v>791</v>
      </c>
      <c r="C11" s="162"/>
      <c r="D11" s="229"/>
      <c r="E11" s="202"/>
      <c r="F11" s="202">
        <v>491</v>
      </c>
      <c r="G11" s="202"/>
      <c r="H11" s="161"/>
    </row>
    <row r="12" spans="1:8" s="20" customFormat="1" ht="19.95" customHeight="1">
      <c r="A12" s="159">
        <v>6</v>
      </c>
      <c r="B12" s="162" t="s">
        <v>442</v>
      </c>
      <c r="C12" s="162"/>
      <c r="D12" s="229">
        <v>92</v>
      </c>
      <c r="E12" s="202">
        <v>90</v>
      </c>
      <c r="F12" s="202">
        <v>146</v>
      </c>
      <c r="G12" s="202">
        <f>F12-E12</f>
        <v>56</v>
      </c>
      <c r="H12" s="161">
        <f>(F12/E12)*100</f>
        <v>162.22222222222223</v>
      </c>
    </row>
    <row r="13" spans="1:8" s="20" customFormat="1" ht="19.95" customHeight="1">
      <c r="A13" s="159">
        <v>7</v>
      </c>
      <c r="B13" s="160" t="s">
        <v>754</v>
      </c>
      <c r="C13" s="160"/>
      <c r="D13" s="229">
        <v>470</v>
      </c>
      <c r="E13" s="202">
        <v>550</v>
      </c>
      <c r="F13" s="202">
        <v>286</v>
      </c>
      <c r="G13" s="202">
        <f>F13-E13</f>
        <v>-264</v>
      </c>
      <c r="H13" s="161">
        <f>(F13/E13)*100</f>
        <v>52</v>
      </c>
    </row>
    <row r="14" spans="1:8" s="20" customFormat="1" ht="22.2" customHeight="1">
      <c r="A14" s="159">
        <v>8</v>
      </c>
      <c r="B14" s="160" t="s">
        <v>438</v>
      </c>
      <c r="C14" s="160"/>
      <c r="D14" s="229">
        <v>70</v>
      </c>
      <c r="E14" s="202">
        <v>114</v>
      </c>
      <c r="F14" s="202">
        <v>129</v>
      </c>
      <c r="G14" s="202">
        <f>F14-E14</f>
        <v>15</v>
      </c>
      <c r="H14" s="161"/>
    </row>
    <row r="15" spans="1:8" s="20" customFormat="1" ht="23.25" customHeight="1">
      <c r="A15" s="159">
        <v>9</v>
      </c>
      <c r="B15" s="162" t="s">
        <v>440</v>
      </c>
      <c r="C15" s="162"/>
      <c r="D15" s="229">
        <v>44</v>
      </c>
      <c r="E15" s="202">
        <v>80</v>
      </c>
      <c r="F15" s="202">
        <v>44</v>
      </c>
      <c r="G15" s="202">
        <f>F15-E15</f>
        <v>-36</v>
      </c>
      <c r="H15" s="161">
        <f>(F15/E15)*100</f>
        <v>55.000000000000007</v>
      </c>
    </row>
    <row r="16" spans="1:8" s="20" customFormat="1" ht="22.2" customHeight="1">
      <c r="A16" s="159">
        <v>10</v>
      </c>
      <c r="B16" s="160" t="s">
        <v>790</v>
      </c>
      <c r="C16" s="162"/>
      <c r="D16" s="229"/>
      <c r="E16" s="202"/>
      <c r="F16" s="202">
        <v>2330</v>
      </c>
      <c r="G16" s="202"/>
      <c r="H16" s="161"/>
    </row>
    <row r="17" spans="1:8" s="20" customFormat="1" ht="34.200000000000003" customHeight="1">
      <c r="A17" s="159">
        <v>11</v>
      </c>
      <c r="B17" s="160" t="s">
        <v>437</v>
      </c>
      <c r="C17" s="160"/>
      <c r="D17" s="229">
        <v>371</v>
      </c>
      <c r="E17" s="202">
        <v>440</v>
      </c>
      <c r="F17" s="202">
        <v>437</v>
      </c>
      <c r="G17" s="202">
        <f>F17-E17</f>
        <v>-3</v>
      </c>
      <c r="H17" s="161">
        <f>(F17/E17)*100</f>
        <v>99.318181818181813</v>
      </c>
    </row>
    <row r="18" spans="1:8">
      <c r="A18" s="159">
        <v>12</v>
      </c>
      <c r="B18" s="160" t="s">
        <v>755</v>
      </c>
      <c r="C18" s="160"/>
      <c r="D18" s="229">
        <v>9468</v>
      </c>
      <c r="E18" s="202">
        <v>9800</v>
      </c>
      <c r="F18" s="202">
        <v>12024</v>
      </c>
      <c r="G18" s="202">
        <f>F18-E18</f>
        <v>2224</v>
      </c>
      <c r="H18" s="161">
        <f>(F18/E18)*100</f>
        <v>122.69387755102042</v>
      </c>
    </row>
    <row r="19" spans="1:8" ht="24.75" customHeight="1">
      <c r="A19" s="159">
        <v>13</v>
      </c>
      <c r="B19" s="160" t="s">
        <v>434</v>
      </c>
      <c r="C19" s="160"/>
      <c r="D19" s="229"/>
      <c r="E19" s="202">
        <v>40</v>
      </c>
      <c r="F19" s="202">
        <v>12</v>
      </c>
      <c r="G19" s="202">
        <f>F19-E19</f>
        <v>-28</v>
      </c>
      <c r="H19" s="161">
        <f>(F19/E19)*100</f>
        <v>30</v>
      </c>
    </row>
    <row r="20" spans="1:8">
      <c r="A20" s="159">
        <v>14</v>
      </c>
      <c r="B20" s="160" t="s">
        <v>435</v>
      </c>
      <c r="C20" s="160"/>
      <c r="D20" s="229">
        <v>159</v>
      </c>
      <c r="E20" s="329">
        <v>220</v>
      </c>
      <c r="F20" s="329">
        <v>240</v>
      </c>
      <c r="G20" s="202">
        <f>F20-E20</f>
        <v>20</v>
      </c>
      <c r="H20" s="161">
        <f>(F20/E20)*100</f>
        <v>109.09090909090908</v>
      </c>
    </row>
    <row r="21" spans="1:8">
      <c r="A21" s="159">
        <v>15</v>
      </c>
      <c r="B21" s="160" t="s">
        <v>436</v>
      </c>
      <c r="C21" s="160"/>
      <c r="D21" s="229">
        <v>1094</v>
      </c>
      <c r="E21" s="202">
        <v>1000</v>
      </c>
      <c r="F21" s="202">
        <v>893</v>
      </c>
      <c r="G21" s="202">
        <f>F21-E21</f>
        <v>-107</v>
      </c>
      <c r="H21" s="161">
        <f>(F21/E21)*100</f>
        <v>89.3</v>
      </c>
    </row>
    <row r="22" spans="1:8">
      <c r="A22" s="159">
        <v>16</v>
      </c>
      <c r="B22" s="162" t="s">
        <v>444</v>
      </c>
      <c r="C22" s="162"/>
      <c r="D22" s="229"/>
      <c r="E22" s="202"/>
      <c r="F22" s="202"/>
      <c r="G22" s="202"/>
      <c r="H22" s="161"/>
    </row>
    <row r="23" spans="1:8">
      <c r="A23" s="159"/>
      <c r="B23" s="162" t="s">
        <v>756</v>
      </c>
      <c r="C23" s="162"/>
      <c r="D23" s="229">
        <v>22</v>
      </c>
      <c r="E23" s="202">
        <v>40</v>
      </c>
      <c r="F23" s="202">
        <v>29</v>
      </c>
      <c r="G23" s="202"/>
      <c r="H23" s="161"/>
    </row>
    <row r="24" spans="1:8">
      <c r="A24" s="159">
        <v>17</v>
      </c>
      <c r="B24" s="162" t="s">
        <v>445</v>
      </c>
      <c r="C24" s="162"/>
      <c r="D24" s="229"/>
      <c r="E24" s="202"/>
      <c r="F24" s="202"/>
      <c r="G24" s="202"/>
      <c r="H24" s="161"/>
    </row>
    <row r="25" spans="1:8">
      <c r="A25" s="159"/>
      <c r="B25" s="162" t="s">
        <v>446</v>
      </c>
      <c r="C25" s="162"/>
      <c r="D25" s="229">
        <v>2</v>
      </c>
      <c r="E25" s="202">
        <v>50</v>
      </c>
      <c r="F25" s="202">
        <v>21</v>
      </c>
      <c r="G25" s="202">
        <f t="shared" ref="G25" si="0">F25-E25</f>
        <v>-29</v>
      </c>
      <c r="H25" s="161">
        <f t="shared" ref="H25" si="1">(F25/E25)*100</f>
        <v>42</v>
      </c>
    </row>
    <row r="26" spans="1:8">
      <c r="A26" s="159"/>
      <c r="B26" s="162" t="s">
        <v>447</v>
      </c>
      <c r="C26" s="162"/>
      <c r="D26" s="229">
        <v>132</v>
      </c>
      <c r="E26" s="202">
        <v>132</v>
      </c>
      <c r="F26" s="202">
        <v>56</v>
      </c>
      <c r="G26" s="202">
        <f t="shared" ref="G26:G67" si="2">F26-E26</f>
        <v>-76</v>
      </c>
      <c r="H26" s="161">
        <f t="shared" ref="H26:H67" si="3">(F26/E26)*100</f>
        <v>42.424242424242422</v>
      </c>
    </row>
    <row r="27" spans="1:8">
      <c r="A27" s="159"/>
      <c r="B27" s="162" t="s">
        <v>757</v>
      </c>
      <c r="C27" s="162"/>
      <c r="D27" s="229"/>
      <c r="E27" s="202"/>
      <c r="F27" s="202">
        <v>58</v>
      </c>
      <c r="G27" s="202">
        <f t="shared" si="2"/>
        <v>58</v>
      </c>
      <c r="H27" s="161"/>
    </row>
    <row r="28" spans="1:8">
      <c r="A28" s="304"/>
      <c r="B28" s="297" t="s">
        <v>448</v>
      </c>
      <c r="C28" s="298" t="s">
        <v>449</v>
      </c>
      <c r="D28" s="330">
        <f>SUM(D29:D36)</f>
        <v>1614</v>
      </c>
      <c r="E28" s="330">
        <f>SUM(E29:E36)</f>
        <v>1777</v>
      </c>
      <c r="F28" s="330">
        <f>SUM(F29:F36)</f>
        <v>1588</v>
      </c>
      <c r="G28" s="204">
        <f t="shared" si="2"/>
        <v>-189</v>
      </c>
      <c r="H28" s="158">
        <f t="shared" si="3"/>
        <v>89.364096792346643</v>
      </c>
    </row>
    <row r="29" spans="1:8">
      <c r="A29" s="304">
        <v>1</v>
      </c>
      <c r="B29" s="163" t="s">
        <v>412</v>
      </c>
      <c r="C29" s="163"/>
      <c r="D29" s="256">
        <v>1315</v>
      </c>
      <c r="E29" s="256">
        <v>1340</v>
      </c>
      <c r="F29" s="202">
        <v>1259</v>
      </c>
      <c r="G29" s="202">
        <f t="shared" si="2"/>
        <v>-81</v>
      </c>
      <c r="H29" s="161">
        <f t="shared" si="3"/>
        <v>93.955223880597018</v>
      </c>
    </row>
    <row r="30" spans="1:8" ht="36">
      <c r="A30" s="159">
        <v>2</v>
      </c>
      <c r="B30" s="162" t="s">
        <v>758</v>
      </c>
      <c r="C30" s="162"/>
      <c r="D30" s="229">
        <v>199</v>
      </c>
      <c r="E30" s="256">
        <v>264</v>
      </c>
      <c r="F30" s="202">
        <v>219</v>
      </c>
      <c r="G30" s="202">
        <f t="shared" si="2"/>
        <v>-45</v>
      </c>
      <c r="H30" s="161">
        <f t="shared" si="3"/>
        <v>82.954545454545453</v>
      </c>
    </row>
    <row r="31" spans="1:8">
      <c r="A31" s="159">
        <v>3</v>
      </c>
      <c r="B31" s="162" t="s">
        <v>450</v>
      </c>
      <c r="C31" s="162"/>
      <c r="D31" s="229"/>
      <c r="E31" s="256"/>
      <c r="F31" s="202"/>
      <c r="G31" s="202">
        <f t="shared" si="2"/>
        <v>0</v>
      </c>
      <c r="H31" s="161"/>
    </row>
    <row r="32" spans="1:8">
      <c r="A32" s="159"/>
      <c r="B32" s="164" t="s">
        <v>453</v>
      </c>
      <c r="C32" s="164"/>
      <c r="D32" s="229">
        <v>8</v>
      </c>
      <c r="E32" s="256">
        <v>8</v>
      </c>
      <c r="F32" s="202">
        <v>5</v>
      </c>
      <c r="G32" s="202">
        <f t="shared" si="2"/>
        <v>-3</v>
      </c>
      <c r="H32" s="161">
        <f t="shared" si="3"/>
        <v>62.5</v>
      </c>
    </row>
    <row r="33" spans="1:8">
      <c r="A33" s="159"/>
      <c r="B33" s="162" t="s">
        <v>452</v>
      </c>
      <c r="C33" s="162"/>
      <c r="D33" s="229">
        <v>7</v>
      </c>
      <c r="E33" s="256">
        <v>6</v>
      </c>
      <c r="F33" s="202"/>
      <c r="G33" s="202">
        <f t="shared" si="2"/>
        <v>-6</v>
      </c>
      <c r="H33" s="161">
        <f t="shared" si="3"/>
        <v>0</v>
      </c>
    </row>
    <row r="34" spans="1:8">
      <c r="A34" s="159"/>
      <c r="B34" s="162" t="s">
        <v>454</v>
      </c>
      <c r="C34" s="162"/>
      <c r="D34" s="229"/>
      <c r="E34" s="256">
        <v>1</v>
      </c>
      <c r="F34" s="202"/>
      <c r="G34" s="202">
        <f t="shared" si="2"/>
        <v>-1</v>
      </c>
      <c r="H34" s="161"/>
    </row>
    <row r="35" spans="1:8">
      <c r="A35" s="159"/>
      <c r="B35" s="162" t="s">
        <v>451</v>
      </c>
      <c r="C35" s="162"/>
      <c r="D35" s="229"/>
      <c r="E35" s="256">
        <v>49</v>
      </c>
      <c r="F35" s="202"/>
      <c r="G35" s="202">
        <f t="shared" si="2"/>
        <v>-49</v>
      </c>
      <c r="H35" s="161">
        <f t="shared" si="3"/>
        <v>0</v>
      </c>
    </row>
    <row r="36" spans="1:8">
      <c r="A36" s="159">
        <v>4</v>
      </c>
      <c r="B36" s="162" t="s">
        <v>455</v>
      </c>
      <c r="C36" s="162"/>
      <c r="D36" s="229">
        <v>85</v>
      </c>
      <c r="E36" s="202">
        <v>109</v>
      </c>
      <c r="F36" s="202">
        <v>105</v>
      </c>
      <c r="G36" s="202">
        <f t="shared" si="2"/>
        <v>-4</v>
      </c>
      <c r="H36" s="161">
        <f t="shared" si="3"/>
        <v>96.330275229357795</v>
      </c>
    </row>
    <row r="37" spans="1:8">
      <c r="A37" s="304"/>
      <c r="B37" s="297" t="s">
        <v>456</v>
      </c>
      <c r="C37" s="298" t="s">
        <v>457</v>
      </c>
      <c r="D37" s="330">
        <f>SUM(D38:D39)</f>
        <v>11790</v>
      </c>
      <c r="E37" s="330">
        <f>SUM(E38:E39)</f>
        <v>32276</v>
      </c>
      <c r="F37" s="330">
        <f>SUM(F38:F39)</f>
        <v>48358</v>
      </c>
      <c r="G37" s="204">
        <f t="shared" si="2"/>
        <v>16082</v>
      </c>
      <c r="H37" s="158">
        <f t="shared" si="3"/>
        <v>149.82649646796381</v>
      </c>
    </row>
    <row r="38" spans="1:8">
      <c r="A38" s="159">
        <v>1</v>
      </c>
      <c r="B38" s="164" t="s">
        <v>458</v>
      </c>
      <c r="C38" s="164"/>
      <c r="D38" s="329"/>
      <c r="E38" s="202"/>
      <c r="F38" s="202"/>
      <c r="G38" s="202">
        <f t="shared" si="2"/>
        <v>0</v>
      </c>
      <c r="H38" s="161"/>
    </row>
    <row r="39" spans="1:8">
      <c r="A39" s="159">
        <v>2</v>
      </c>
      <c r="B39" s="164" t="s">
        <v>459</v>
      </c>
      <c r="C39" s="164"/>
      <c r="D39" s="329">
        <v>11790</v>
      </c>
      <c r="E39" s="202">
        <v>32276</v>
      </c>
      <c r="F39" s="202">
        <v>48358</v>
      </c>
      <c r="G39" s="202">
        <f t="shared" si="2"/>
        <v>16082</v>
      </c>
      <c r="H39" s="161">
        <f t="shared" si="3"/>
        <v>149.82649646796381</v>
      </c>
    </row>
    <row r="40" spans="1:8">
      <c r="A40" s="304"/>
      <c r="B40" s="297" t="s">
        <v>460</v>
      </c>
      <c r="C40" s="298" t="s">
        <v>461</v>
      </c>
      <c r="D40" s="330">
        <f>SUM(D41:D50)</f>
        <v>8396</v>
      </c>
      <c r="E40" s="330">
        <f>SUM(E41:E50)</f>
        <v>10706</v>
      </c>
      <c r="F40" s="330">
        <f>SUM(F41:F50)</f>
        <v>9914</v>
      </c>
      <c r="G40" s="204">
        <f t="shared" si="2"/>
        <v>-792</v>
      </c>
      <c r="H40" s="158">
        <f t="shared" si="3"/>
        <v>92.60227909583412</v>
      </c>
    </row>
    <row r="41" spans="1:8" ht="36">
      <c r="A41" s="159">
        <v>1</v>
      </c>
      <c r="B41" s="162" t="s">
        <v>467</v>
      </c>
      <c r="C41" s="162"/>
      <c r="D41" s="256"/>
      <c r="E41" s="256">
        <v>300</v>
      </c>
      <c r="F41" s="202"/>
      <c r="G41" s="202">
        <f t="shared" si="2"/>
        <v>-300</v>
      </c>
      <c r="H41" s="161">
        <f t="shared" si="3"/>
        <v>0</v>
      </c>
    </row>
    <row r="42" spans="1:8">
      <c r="A42" s="159">
        <v>2</v>
      </c>
      <c r="B42" s="162" t="s">
        <v>470</v>
      </c>
      <c r="C42" s="162"/>
      <c r="D42" s="256">
        <v>18</v>
      </c>
      <c r="E42" s="256"/>
      <c r="F42" s="202"/>
      <c r="G42" s="202">
        <f t="shared" si="2"/>
        <v>0</v>
      </c>
      <c r="H42" s="161"/>
    </row>
    <row r="43" spans="1:8">
      <c r="A43" s="159">
        <v>3</v>
      </c>
      <c r="B43" s="164" t="s">
        <v>463</v>
      </c>
      <c r="C43" s="162"/>
      <c r="D43" s="256">
        <v>80</v>
      </c>
      <c r="E43" s="256">
        <v>100</v>
      </c>
      <c r="F43" s="202">
        <v>101</v>
      </c>
      <c r="G43" s="202">
        <f t="shared" si="2"/>
        <v>1</v>
      </c>
      <c r="H43" s="161">
        <f t="shared" si="3"/>
        <v>101</v>
      </c>
    </row>
    <row r="44" spans="1:8">
      <c r="A44" s="159">
        <v>4</v>
      </c>
      <c r="B44" s="162" t="s">
        <v>466</v>
      </c>
      <c r="C44" s="162"/>
      <c r="D44" s="256">
        <v>195</v>
      </c>
      <c r="E44" s="256">
        <v>400</v>
      </c>
      <c r="F44" s="202">
        <v>589</v>
      </c>
      <c r="G44" s="202">
        <f t="shared" si="2"/>
        <v>189</v>
      </c>
      <c r="H44" s="161">
        <f t="shared" si="3"/>
        <v>147.25</v>
      </c>
    </row>
    <row r="45" spans="1:8">
      <c r="A45" s="159">
        <v>5</v>
      </c>
      <c r="B45" s="162" t="s">
        <v>464</v>
      </c>
      <c r="C45" s="162"/>
      <c r="D45" s="256">
        <v>7234</v>
      </c>
      <c r="E45" s="256">
        <v>8352</v>
      </c>
      <c r="F45" s="202">
        <v>8515</v>
      </c>
      <c r="G45" s="202">
        <f t="shared" si="2"/>
        <v>163</v>
      </c>
      <c r="H45" s="161">
        <f t="shared" si="3"/>
        <v>101.95162835249043</v>
      </c>
    </row>
    <row r="46" spans="1:8">
      <c r="A46" s="159">
        <v>6</v>
      </c>
      <c r="B46" s="162" t="s">
        <v>469</v>
      </c>
      <c r="C46" s="162"/>
      <c r="D46" s="256">
        <v>9</v>
      </c>
      <c r="E46" s="256">
        <v>10</v>
      </c>
      <c r="F46" s="202">
        <v>20</v>
      </c>
      <c r="G46" s="202">
        <f t="shared" si="2"/>
        <v>10</v>
      </c>
      <c r="H46" s="161">
        <f t="shared" si="3"/>
        <v>200</v>
      </c>
    </row>
    <row r="47" spans="1:8">
      <c r="A47" s="159">
        <v>7</v>
      </c>
      <c r="B47" s="162" t="s">
        <v>468</v>
      </c>
      <c r="C47" s="162"/>
      <c r="D47" s="256">
        <v>157</v>
      </c>
      <c r="E47" s="256">
        <v>150</v>
      </c>
      <c r="F47" s="202">
        <v>60</v>
      </c>
      <c r="G47" s="202">
        <f>F47-E47</f>
        <v>-90</v>
      </c>
      <c r="H47" s="161">
        <f t="shared" si="3"/>
        <v>40</v>
      </c>
    </row>
    <row r="48" spans="1:8">
      <c r="A48" s="159">
        <v>8</v>
      </c>
      <c r="B48" s="162" t="s">
        <v>462</v>
      </c>
      <c r="C48" s="162"/>
      <c r="D48" s="256">
        <v>646</v>
      </c>
      <c r="E48" s="256">
        <v>1300</v>
      </c>
      <c r="F48" s="202">
        <v>567</v>
      </c>
      <c r="G48" s="202">
        <f t="shared" si="2"/>
        <v>-733</v>
      </c>
      <c r="H48" s="161">
        <f t="shared" si="3"/>
        <v>43.61538461538462</v>
      </c>
    </row>
    <row r="49" spans="1:11">
      <c r="A49" s="159">
        <v>9</v>
      </c>
      <c r="B49" s="162" t="s">
        <v>792</v>
      </c>
      <c r="C49" s="162"/>
      <c r="D49" s="256"/>
      <c r="E49" s="256"/>
      <c r="F49" s="202">
        <v>5</v>
      </c>
      <c r="G49" s="202"/>
      <c r="H49" s="161"/>
    </row>
    <row r="50" spans="1:11">
      <c r="A50" s="159">
        <v>10</v>
      </c>
      <c r="B50" s="162" t="s">
        <v>465</v>
      </c>
      <c r="C50" s="162"/>
      <c r="D50" s="256">
        <v>57</v>
      </c>
      <c r="E50" s="256">
        <v>94</v>
      </c>
      <c r="F50" s="202">
        <v>57</v>
      </c>
      <c r="G50" s="202">
        <f t="shared" si="2"/>
        <v>-37</v>
      </c>
      <c r="H50" s="161">
        <f t="shared" si="3"/>
        <v>60.638297872340431</v>
      </c>
    </row>
    <row r="51" spans="1:11">
      <c r="A51" s="304"/>
      <c r="B51" s="297" t="s">
        <v>471</v>
      </c>
      <c r="C51" s="298" t="s">
        <v>472</v>
      </c>
      <c r="D51" s="330">
        <f>D52+D55</f>
        <v>7110</v>
      </c>
      <c r="E51" s="330">
        <f>E52+E55</f>
        <v>117</v>
      </c>
      <c r="F51" s="330">
        <f>F52+F55</f>
        <v>227</v>
      </c>
      <c r="G51" s="204">
        <f t="shared" si="2"/>
        <v>110</v>
      </c>
      <c r="H51" s="158">
        <f t="shared" si="3"/>
        <v>194.01709401709402</v>
      </c>
    </row>
    <row r="52" spans="1:11">
      <c r="A52" s="288">
        <v>1</v>
      </c>
      <c r="B52" s="163" t="s">
        <v>473</v>
      </c>
      <c r="C52" s="165"/>
      <c r="D52" s="256">
        <f>SUM(D53:D54)</f>
        <v>3011</v>
      </c>
      <c r="E52" s="256">
        <f>SUM(E53:E54)</f>
        <v>29</v>
      </c>
      <c r="F52" s="202">
        <f>F53</f>
        <v>38</v>
      </c>
      <c r="G52" s="202">
        <f t="shared" si="2"/>
        <v>9</v>
      </c>
      <c r="H52" s="161">
        <f t="shared" si="3"/>
        <v>131.0344827586207</v>
      </c>
    </row>
    <row r="53" spans="1:11">
      <c r="A53" s="288" t="s">
        <v>414</v>
      </c>
      <c r="B53" s="163" t="s">
        <v>474</v>
      </c>
      <c r="C53" s="165"/>
      <c r="D53" s="256">
        <v>435</v>
      </c>
      <c r="E53" s="256">
        <v>29</v>
      </c>
      <c r="F53" s="202">
        <v>38</v>
      </c>
      <c r="G53" s="202">
        <f t="shared" si="2"/>
        <v>9</v>
      </c>
      <c r="H53" s="161">
        <f t="shared" si="3"/>
        <v>131.0344827586207</v>
      </c>
    </row>
    <row r="54" spans="1:11">
      <c r="A54" s="288" t="s">
        <v>414</v>
      </c>
      <c r="B54" s="163" t="s">
        <v>475</v>
      </c>
      <c r="C54" s="165"/>
      <c r="D54" s="256">
        <v>2576</v>
      </c>
      <c r="E54" s="256">
        <v>0</v>
      </c>
      <c r="F54" s="202"/>
      <c r="G54" s="202">
        <f t="shared" si="2"/>
        <v>0</v>
      </c>
      <c r="H54" s="161"/>
    </row>
    <row r="55" spans="1:11">
      <c r="A55" s="288">
        <v>2</v>
      </c>
      <c r="B55" s="163" t="s">
        <v>476</v>
      </c>
      <c r="C55" s="165"/>
      <c r="D55" s="256">
        <f>SUM(D56:D57)</f>
        <v>4099</v>
      </c>
      <c r="E55" s="256">
        <f>SUM(E56:E57)</f>
        <v>88</v>
      </c>
      <c r="F55" s="202">
        <f>F56</f>
        <v>189</v>
      </c>
      <c r="G55" s="202">
        <f t="shared" si="2"/>
        <v>101</v>
      </c>
      <c r="H55" s="161"/>
    </row>
    <row r="56" spans="1:11">
      <c r="A56" s="288" t="s">
        <v>414</v>
      </c>
      <c r="B56" s="163" t="s">
        <v>477</v>
      </c>
      <c r="C56" s="165"/>
      <c r="D56" s="256"/>
      <c r="E56" s="256">
        <v>88</v>
      </c>
      <c r="F56" s="202">
        <v>189</v>
      </c>
      <c r="G56" s="202">
        <f t="shared" si="2"/>
        <v>101</v>
      </c>
      <c r="H56" s="161">
        <f t="shared" si="3"/>
        <v>214.77272727272728</v>
      </c>
    </row>
    <row r="57" spans="1:11">
      <c r="A57" s="288" t="s">
        <v>414</v>
      </c>
      <c r="B57" s="163" t="s">
        <v>478</v>
      </c>
      <c r="C57" s="165"/>
      <c r="D57" s="256">
        <v>4099</v>
      </c>
      <c r="E57" s="256">
        <v>0</v>
      </c>
      <c r="F57" s="202"/>
      <c r="G57" s="202">
        <f t="shared" si="2"/>
        <v>0</v>
      </c>
      <c r="H57" s="161"/>
    </row>
    <row r="58" spans="1:11">
      <c r="A58" s="304"/>
      <c r="B58" s="297" t="s">
        <v>479</v>
      </c>
      <c r="C58" s="298" t="s">
        <v>480</v>
      </c>
      <c r="D58" s="330">
        <f>SUM(D59:D61)</f>
        <v>4260</v>
      </c>
      <c r="E58" s="330">
        <f>SUM(E59:E61)</f>
        <v>30</v>
      </c>
      <c r="F58" s="330">
        <f>SUM(F59:F61)</f>
        <v>0</v>
      </c>
      <c r="G58" s="204">
        <f>F58-E58</f>
        <v>-30</v>
      </c>
      <c r="H58" s="158">
        <f t="shared" si="3"/>
        <v>0</v>
      </c>
    </row>
    <row r="59" spans="1:11">
      <c r="A59" s="304">
        <v>1</v>
      </c>
      <c r="B59" s="162" t="s">
        <v>483</v>
      </c>
      <c r="C59" s="298"/>
      <c r="D59" s="256">
        <v>4259</v>
      </c>
      <c r="E59" s="331"/>
      <c r="F59" s="332"/>
      <c r="G59" s="202">
        <f t="shared" si="2"/>
        <v>0</v>
      </c>
      <c r="H59" s="161"/>
    </row>
    <row r="60" spans="1:11">
      <c r="A60" s="159">
        <v>2</v>
      </c>
      <c r="B60" s="162" t="s">
        <v>482</v>
      </c>
      <c r="C60" s="162"/>
      <c r="D60" s="256"/>
      <c r="E60" s="256">
        <v>20</v>
      </c>
      <c r="F60" s="332"/>
      <c r="G60" s="202">
        <f t="shared" si="2"/>
        <v>-20</v>
      </c>
      <c r="H60" s="161">
        <f t="shared" si="3"/>
        <v>0</v>
      </c>
    </row>
    <row r="61" spans="1:11">
      <c r="A61" s="159">
        <v>3</v>
      </c>
      <c r="B61" s="162" t="s">
        <v>481</v>
      </c>
      <c r="C61" s="162"/>
      <c r="D61" s="256">
        <v>1</v>
      </c>
      <c r="E61" s="256">
        <v>10</v>
      </c>
      <c r="F61" s="332"/>
      <c r="G61" s="202">
        <f t="shared" si="2"/>
        <v>-10</v>
      </c>
      <c r="H61" s="161"/>
    </row>
    <row r="62" spans="1:11" ht="18" customHeight="1">
      <c r="A62" s="415" t="s">
        <v>484</v>
      </c>
      <c r="B62" s="416"/>
      <c r="C62" s="416"/>
      <c r="D62" s="416"/>
      <c r="E62" s="416"/>
      <c r="F62" s="416"/>
      <c r="G62" s="416"/>
      <c r="H62" s="417"/>
      <c r="I62" s="166"/>
      <c r="J62" s="166"/>
      <c r="K62" s="166"/>
    </row>
    <row r="63" spans="1:11">
      <c r="A63" s="304"/>
      <c r="B63" s="297" t="s">
        <v>485</v>
      </c>
      <c r="C63" s="298" t="s">
        <v>486</v>
      </c>
      <c r="D63" s="330">
        <f>SUM(D64:D76)</f>
        <v>575539</v>
      </c>
      <c r="E63" s="330">
        <f>SUM(E64:E76)</f>
        <v>891145</v>
      </c>
      <c r="F63" s="330">
        <f>SUM(F64:F76)</f>
        <v>465250</v>
      </c>
      <c r="G63" s="204">
        <f t="shared" si="2"/>
        <v>-425895</v>
      </c>
      <c r="H63" s="158">
        <f t="shared" si="3"/>
        <v>52.208114279943217</v>
      </c>
    </row>
    <row r="64" spans="1:11" ht="36">
      <c r="A64" s="159">
        <v>1</v>
      </c>
      <c r="B64" s="163" t="s">
        <v>487</v>
      </c>
      <c r="C64" s="163"/>
      <c r="D64" s="329">
        <v>2706</v>
      </c>
      <c r="E64" s="256">
        <v>2500</v>
      </c>
      <c r="F64" s="202">
        <v>7504</v>
      </c>
      <c r="G64" s="202">
        <f t="shared" si="2"/>
        <v>5004</v>
      </c>
      <c r="H64" s="161">
        <f t="shared" si="3"/>
        <v>300.15999999999997</v>
      </c>
    </row>
    <row r="65" spans="1:8">
      <c r="A65" s="159">
        <v>2</v>
      </c>
      <c r="B65" s="160" t="s">
        <v>488</v>
      </c>
      <c r="C65" s="160"/>
      <c r="D65" s="329">
        <v>447</v>
      </c>
      <c r="E65" s="256">
        <v>550</v>
      </c>
      <c r="F65" s="202">
        <v>432</v>
      </c>
      <c r="G65" s="202">
        <f t="shared" si="2"/>
        <v>-118</v>
      </c>
      <c r="H65" s="161">
        <f t="shared" si="3"/>
        <v>78.545454545454547</v>
      </c>
    </row>
    <row r="66" spans="1:8">
      <c r="A66" s="159"/>
      <c r="B66" s="160" t="s">
        <v>793</v>
      </c>
      <c r="C66" s="160"/>
      <c r="D66" s="329"/>
      <c r="E66" s="256"/>
      <c r="F66" s="202">
        <v>513</v>
      </c>
      <c r="G66" s="202"/>
      <c r="H66" s="161"/>
    </row>
    <row r="67" spans="1:8" ht="54">
      <c r="A67" s="159">
        <v>3</v>
      </c>
      <c r="B67" s="167" t="s">
        <v>489</v>
      </c>
      <c r="C67" s="160"/>
      <c r="D67" s="329"/>
      <c r="E67" s="256">
        <v>342772</v>
      </c>
      <c r="F67" s="202"/>
      <c r="G67" s="202">
        <f t="shared" si="2"/>
        <v>-342772</v>
      </c>
      <c r="H67" s="161">
        <f t="shared" si="3"/>
        <v>0</v>
      </c>
    </row>
    <row r="68" spans="1:8" ht="92.4" customHeight="1">
      <c r="A68" s="159">
        <v>4</v>
      </c>
      <c r="B68" s="167" t="s">
        <v>490</v>
      </c>
      <c r="C68" s="160"/>
      <c r="D68" s="329"/>
      <c r="E68" s="256">
        <v>88445</v>
      </c>
      <c r="F68" s="202"/>
      <c r="G68" s="202">
        <f t="shared" ref="G68:G91" si="4">F68-E68</f>
        <v>-88445</v>
      </c>
      <c r="H68" s="161">
        <f t="shared" ref="H68:H87" si="5">(F68/E68)*100</f>
        <v>0</v>
      </c>
    </row>
    <row r="69" spans="1:8">
      <c r="A69" s="159">
        <v>5</v>
      </c>
      <c r="B69" s="160" t="s">
        <v>491</v>
      </c>
      <c r="C69" s="160"/>
      <c r="D69" s="329"/>
      <c r="E69" s="333"/>
      <c r="F69" s="329"/>
      <c r="G69" s="202"/>
      <c r="H69" s="161"/>
    </row>
    <row r="70" spans="1:8">
      <c r="A70" s="168" t="s">
        <v>492</v>
      </c>
      <c r="B70" s="160" t="s">
        <v>493</v>
      </c>
      <c r="C70" s="160"/>
      <c r="D70" s="329">
        <v>2531</v>
      </c>
      <c r="E70" s="256">
        <v>4121</v>
      </c>
      <c r="F70" s="329">
        <v>4121</v>
      </c>
      <c r="G70" s="202">
        <f t="shared" ref="G70:G76" si="6">F70-E70</f>
        <v>0</v>
      </c>
      <c r="H70" s="161">
        <f t="shared" ref="H70:H76" si="7">(F70/E70)*100</f>
        <v>100</v>
      </c>
    </row>
    <row r="71" spans="1:8">
      <c r="A71" s="168" t="s">
        <v>494</v>
      </c>
      <c r="B71" s="160" t="s">
        <v>495</v>
      </c>
      <c r="C71" s="160"/>
      <c r="D71" s="329">
        <v>606</v>
      </c>
      <c r="E71" s="256">
        <v>1200</v>
      </c>
      <c r="F71" s="329">
        <v>1200</v>
      </c>
      <c r="G71" s="202">
        <f t="shared" si="6"/>
        <v>0</v>
      </c>
      <c r="H71" s="161">
        <f t="shared" si="7"/>
        <v>100</v>
      </c>
    </row>
    <row r="72" spans="1:8" ht="36">
      <c r="A72" s="168" t="s">
        <v>496</v>
      </c>
      <c r="B72" s="160" t="s">
        <v>497</v>
      </c>
      <c r="C72" s="160"/>
      <c r="D72" s="329">
        <v>242</v>
      </c>
      <c r="E72" s="256">
        <v>267</v>
      </c>
      <c r="F72" s="329">
        <v>190</v>
      </c>
      <c r="G72" s="202">
        <f t="shared" si="6"/>
        <v>-77</v>
      </c>
      <c r="H72" s="161">
        <f t="shared" si="7"/>
        <v>71.161048689138568</v>
      </c>
    </row>
    <row r="73" spans="1:8" ht="54">
      <c r="A73" s="168" t="s">
        <v>498</v>
      </c>
      <c r="B73" s="163" t="s">
        <v>499</v>
      </c>
      <c r="C73" s="160"/>
      <c r="D73" s="329">
        <v>355064</v>
      </c>
      <c r="E73" s="256">
        <v>208118</v>
      </c>
      <c r="F73" s="329">
        <v>208118</v>
      </c>
      <c r="G73" s="202">
        <f t="shared" si="6"/>
        <v>0</v>
      </c>
      <c r="H73" s="161">
        <f t="shared" si="7"/>
        <v>100</v>
      </c>
    </row>
    <row r="74" spans="1:8" ht="79.8" customHeight="1">
      <c r="A74" s="168" t="s">
        <v>500</v>
      </c>
      <c r="B74" s="163" t="s">
        <v>502</v>
      </c>
      <c r="C74" s="304"/>
      <c r="D74" s="329">
        <v>77418</v>
      </c>
      <c r="E74" s="256">
        <v>82031</v>
      </c>
      <c r="F74" s="329">
        <v>82031</v>
      </c>
      <c r="G74" s="202">
        <f t="shared" si="6"/>
        <v>0</v>
      </c>
      <c r="H74" s="161">
        <f t="shared" si="7"/>
        <v>100</v>
      </c>
    </row>
    <row r="75" spans="1:8" ht="72">
      <c r="A75" s="168" t="s">
        <v>503</v>
      </c>
      <c r="B75" s="169" t="s">
        <v>504</v>
      </c>
      <c r="C75" s="160"/>
      <c r="D75" s="329">
        <v>97078</v>
      </c>
      <c r="E75" s="256">
        <v>105079</v>
      </c>
      <c r="F75" s="329">
        <v>105079</v>
      </c>
      <c r="G75" s="202">
        <f t="shared" si="6"/>
        <v>0</v>
      </c>
      <c r="H75" s="161">
        <f t="shared" si="7"/>
        <v>100</v>
      </c>
    </row>
    <row r="76" spans="1:8" ht="72">
      <c r="A76" s="168" t="s">
        <v>505</v>
      </c>
      <c r="B76" s="169" t="s">
        <v>506</v>
      </c>
      <c r="C76" s="160"/>
      <c r="D76" s="329">
        <v>39447</v>
      </c>
      <c r="E76" s="256">
        <v>56062</v>
      </c>
      <c r="F76" s="329">
        <v>56062</v>
      </c>
      <c r="G76" s="202">
        <f t="shared" si="6"/>
        <v>0</v>
      </c>
      <c r="H76" s="161">
        <f t="shared" si="7"/>
        <v>100</v>
      </c>
    </row>
    <row r="77" spans="1:8">
      <c r="A77" s="304"/>
      <c r="B77" s="297" t="s">
        <v>508</v>
      </c>
      <c r="C77" s="298" t="s">
        <v>509</v>
      </c>
      <c r="D77" s="330">
        <f>D78</f>
        <v>2585</v>
      </c>
      <c r="E77" s="330">
        <f t="shared" ref="E77:F77" si="8">E78</f>
        <v>1500</v>
      </c>
      <c r="F77" s="330">
        <f t="shared" si="8"/>
        <v>7671</v>
      </c>
      <c r="G77" s="204">
        <f t="shared" si="4"/>
        <v>6171</v>
      </c>
      <c r="H77" s="158">
        <f t="shared" si="5"/>
        <v>511.4</v>
      </c>
    </row>
    <row r="78" spans="1:8" ht="36">
      <c r="A78" s="159">
        <v>1</v>
      </c>
      <c r="B78" s="163" t="s">
        <v>510</v>
      </c>
      <c r="C78" s="288"/>
      <c r="D78" s="329">
        <v>2585</v>
      </c>
      <c r="E78" s="329">
        <v>1500</v>
      </c>
      <c r="F78" s="329">
        <v>7671</v>
      </c>
      <c r="G78" s="202">
        <f t="shared" si="4"/>
        <v>6171</v>
      </c>
      <c r="H78" s="161">
        <f t="shared" si="5"/>
        <v>511.4</v>
      </c>
    </row>
    <row r="79" spans="1:8">
      <c r="A79" s="304"/>
      <c r="B79" s="297" t="s">
        <v>511</v>
      </c>
      <c r="C79" s="298" t="s">
        <v>512</v>
      </c>
      <c r="D79" s="330">
        <f>SUM(D80:D91)</f>
        <v>5717</v>
      </c>
      <c r="E79" s="330">
        <f>SUM(E80:E91)</f>
        <v>5576</v>
      </c>
      <c r="F79" s="330">
        <f>SUM(F80:F91)</f>
        <v>7250</v>
      </c>
      <c r="G79" s="204">
        <f t="shared" si="4"/>
        <v>1674</v>
      </c>
      <c r="H79" s="158">
        <f t="shared" si="5"/>
        <v>130.02152080344334</v>
      </c>
    </row>
    <row r="80" spans="1:8" ht="36">
      <c r="A80" s="159">
        <v>1</v>
      </c>
      <c r="B80" s="160" t="s">
        <v>514</v>
      </c>
      <c r="C80" s="160"/>
      <c r="D80" s="229">
        <v>4470</v>
      </c>
      <c r="E80" s="256">
        <v>4496</v>
      </c>
      <c r="F80" s="329">
        <v>5332</v>
      </c>
      <c r="G80" s="202">
        <f t="shared" si="4"/>
        <v>836</v>
      </c>
      <c r="H80" s="161">
        <f>(F80/E80)*100</f>
        <v>118.59430604982207</v>
      </c>
    </row>
    <row r="81" spans="1:9" ht="36">
      <c r="A81" s="159">
        <v>2</v>
      </c>
      <c r="B81" s="160" t="s">
        <v>759</v>
      </c>
      <c r="C81" s="160"/>
      <c r="D81" s="229">
        <v>199</v>
      </c>
      <c r="E81" s="256"/>
      <c r="F81" s="329">
        <v>144</v>
      </c>
      <c r="G81" s="202">
        <f t="shared" si="4"/>
        <v>144</v>
      </c>
      <c r="H81" s="161"/>
    </row>
    <row r="82" spans="1:9">
      <c r="A82" s="159">
        <v>3</v>
      </c>
      <c r="B82" s="160" t="s">
        <v>513</v>
      </c>
      <c r="C82" s="160"/>
      <c r="D82" s="229">
        <v>616</v>
      </c>
      <c r="E82" s="256">
        <v>600</v>
      </c>
      <c r="F82" s="329">
        <v>811</v>
      </c>
      <c r="G82" s="202">
        <f t="shared" si="4"/>
        <v>211</v>
      </c>
      <c r="H82" s="161"/>
    </row>
    <row r="83" spans="1:9">
      <c r="A83" s="159">
        <v>4</v>
      </c>
      <c r="B83" s="160" t="s">
        <v>515</v>
      </c>
      <c r="C83" s="160"/>
      <c r="D83" s="229"/>
      <c r="E83" s="256"/>
      <c r="F83" s="329"/>
      <c r="G83" s="202"/>
      <c r="H83" s="161"/>
    </row>
    <row r="84" spans="1:9" ht="36">
      <c r="A84" s="159"/>
      <c r="B84" s="163" t="s">
        <v>519</v>
      </c>
      <c r="C84" s="163"/>
      <c r="D84" s="202">
        <v>48</v>
      </c>
      <c r="E84" s="202"/>
      <c r="F84" s="329">
        <v>54</v>
      </c>
      <c r="G84" s="202">
        <f t="shared" si="4"/>
        <v>54</v>
      </c>
      <c r="H84" s="161"/>
    </row>
    <row r="85" spans="1:9" ht="19.2" customHeight="1">
      <c r="A85" s="159"/>
      <c r="B85" s="160" t="s">
        <v>518</v>
      </c>
      <c r="C85" s="160"/>
      <c r="D85" s="229">
        <v>154</v>
      </c>
      <c r="E85" s="256">
        <v>200</v>
      </c>
      <c r="F85" s="329">
        <v>631</v>
      </c>
      <c r="G85" s="202">
        <f t="shared" si="4"/>
        <v>431</v>
      </c>
      <c r="H85" s="161">
        <f t="shared" si="5"/>
        <v>315.5</v>
      </c>
    </row>
    <row r="86" spans="1:9" ht="19.8" customHeight="1">
      <c r="A86" s="159"/>
      <c r="B86" s="163" t="s">
        <v>521</v>
      </c>
      <c r="C86" s="163"/>
      <c r="D86" s="202">
        <v>26</v>
      </c>
      <c r="E86" s="202"/>
      <c r="F86" s="329"/>
      <c r="G86" s="202">
        <f t="shared" si="4"/>
        <v>0</v>
      </c>
      <c r="H86" s="161"/>
    </row>
    <row r="87" spans="1:9">
      <c r="A87" s="159"/>
      <c r="B87" s="160" t="s">
        <v>760</v>
      </c>
      <c r="C87" s="160"/>
      <c r="D87" s="229">
        <v>196</v>
      </c>
      <c r="E87" s="256">
        <v>250</v>
      </c>
      <c r="F87" s="329">
        <v>278</v>
      </c>
      <c r="G87" s="202">
        <f t="shared" si="4"/>
        <v>28</v>
      </c>
      <c r="H87" s="161">
        <f t="shared" si="5"/>
        <v>111.20000000000002</v>
      </c>
    </row>
    <row r="88" spans="1:9">
      <c r="A88" s="159"/>
      <c r="B88" s="163" t="s">
        <v>520</v>
      </c>
      <c r="C88" s="163"/>
      <c r="D88" s="202">
        <v>1</v>
      </c>
      <c r="E88" s="202"/>
      <c r="F88" s="329"/>
      <c r="G88" s="202">
        <f t="shared" si="4"/>
        <v>0</v>
      </c>
      <c r="H88" s="161"/>
    </row>
    <row r="89" spans="1:9">
      <c r="A89" s="304"/>
      <c r="B89" s="160" t="s">
        <v>516</v>
      </c>
      <c r="C89" s="160"/>
      <c r="D89" s="229"/>
      <c r="E89" s="256">
        <v>30</v>
      </c>
      <c r="F89" s="329"/>
      <c r="G89" s="202"/>
      <c r="H89" s="161"/>
    </row>
    <row r="90" spans="1:9" s="137" customFormat="1" ht="18" customHeight="1">
      <c r="A90" s="304"/>
      <c r="B90" s="160" t="s">
        <v>517</v>
      </c>
      <c r="C90" s="160"/>
      <c r="D90" s="229">
        <v>1</v>
      </c>
      <c r="E90" s="256"/>
      <c r="F90" s="334"/>
      <c r="G90" s="202">
        <f t="shared" si="4"/>
        <v>0</v>
      </c>
      <c r="H90" s="161"/>
    </row>
    <row r="91" spans="1:9">
      <c r="A91" s="304"/>
      <c r="B91" s="163" t="s">
        <v>522</v>
      </c>
      <c r="C91" s="163"/>
      <c r="D91" s="202">
        <v>6</v>
      </c>
      <c r="E91" s="202"/>
      <c r="F91" s="329"/>
      <c r="G91" s="202">
        <f t="shared" si="4"/>
        <v>0</v>
      </c>
      <c r="H91" s="161"/>
    </row>
    <row r="92" spans="1:9" hidden="1">
      <c r="B92" s="105"/>
      <c r="H92" s="18"/>
    </row>
    <row r="93" spans="1:9" ht="70.8" customHeight="1">
      <c r="B93" s="105"/>
      <c r="H93" s="18"/>
    </row>
    <row r="94" spans="1:9" s="52" customFormat="1" ht="31.2" customHeight="1">
      <c r="A94" s="405" t="s">
        <v>523</v>
      </c>
      <c r="B94" s="405"/>
      <c r="C94" s="282"/>
      <c r="D94" s="406" t="s">
        <v>80</v>
      </c>
      <c r="E94" s="406"/>
      <c r="F94" s="171"/>
      <c r="G94" s="299" t="s">
        <v>524</v>
      </c>
      <c r="H94" s="309"/>
      <c r="I94" s="299"/>
    </row>
    <row r="95" spans="1:9">
      <c r="B95" s="105"/>
    </row>
    <row r="96" spans="1:9">
      <c r="B96" s="105"/>
    </row>
    <row r="97" spans="2:2">
      <c r="B97" s="105"/>
    </row>
    <row r="98" spans="2:2">
      <c r="B98" s="105"/>
    </row>
    <row r="99" spans="2:2">
      <c r="B99" s="105"/>
    </row>
    <row r="100" spans="2:2">
      <c r="B100" s="105"/>
    </row>
    <row r="101" spans="2:2">
      <c r="B101" s="105"/>
    </row>
    <row r="102" spans="2:2">
      <c r="B102" s="105"/>
    </row>
    <row r="103" spans="2:2">
      <c r="B103" s="105"/>
    </row>
    <row r="104" spans="2:2">
      <c r="B104" s="105"/>
    </row>
    <row r="105" spans="2:2">
      <c r="B105" s="105"/>
    </row>
    <row r="106" spans="2:2">
      <c r="B106" s="105"/>
    </row>
    <row r="107" spans="2:2">
      <c r="B107" s="105"/>
    </row>
    <row r="108" spans="2:2">
      <c r="B108" s="105"/>
    </row>
    <row r="109" spans="2:2">
      <c r="B109" s="105"/>
    </row>
    <row r="110" spans="2:2">
      <c r="B110" s="105"/>
    </row>
    <row r="111" spans="2:2">
      <c r="B111" s="105"/>
    </row>
    <row r="112" spans="2:2">
      <c r="B112" s="105"/>
    </row>
    <row r="113" spans="2:2">
      <c r="B113" s="105"/>
    </row>
    <row r="114" spans="2:2">
      <c r="B114" s="105"/>
    </row>
    <row r="115" spans="2:2">
      <c r="B115" s="105"/>
    </row>
    <row r="116" spans="2:2">
      <c r="B116" s="105"/>
    </row>
    <row r="117" spans="2:2">
      <c r="B117" s="105"/>
    </row>
    <row r="118" spans="2:2">
      <c r="B118" s="105"/>
    </row>
    <row r="119" spans="2:2">
      <c r="B119" s="105"/>
    </row>
    <row r="120" spans="2:2">
      <c r="B120" s="105"/>
    </row>
    <row r="121" spans="2:2">
      <c r="B121" s="105"/>
    </row>
    <row r="122" spans="2:2">
      <c r="B122" s="105"/>
    </row>
    <row r="123" spans="2:2">
      <c r="B123" s="105"/>
    </row>
    <row r="124" spans="2:2">
      <c r="B124" s="105"/>
    </row>
    <row r="125" spans="2:2">
      <c r="B125" s="105"/>
    </row>
    <row r="126" spans="2:2">
      <c r="B126" s="105"/>
    </row>
    <row r="127" spans="2:2">
      <c r="B127" s="105"/>
    </row>
    <row r="128" spans="2:2">
      <c r="B128" s="105"/>
    </row>
    <row r="129" spans="2:2">
      <c r="B129" s="105"/>
    </row>
    <row r="130" spans="2:2">
      <c r="B130" s="105"/>
    </row>
    <row r="131" spans="2:2">
      <c r="B131" s="105"/>
    </row>
    <row r="132" spans="2:2">
      <c r="B132" s="105"/>
    </row>
    <row r="133" spans="2:2">
      <c r="B133" s="105"/>
    </row>
    <row r="134" spans="2:2">
      <c r="B134" s="105"/>
    </row>
    <row r="135" spans="2:2">
      <c r="B135" s="105"/>
    </row>
    <row r="136" spans="2:2">
      <c r="B136" s="105"/>
    </row>
    <row r="137" spans="2:2">
      <c r="B137" s="105"/>
    </row>
    <row r="138" spans="2:2">
      <c r="B138" s="105"/>
    </row>
    <row r="139" spans="2:2">
      <c r="B139" s="105"/>
    </row>
    <row r="140" spans="2:2">
      <c r="B140" s="105"/>
    </row>
    <row r="141" spans="2:2">
      <c r="B141" s="105"/>
    </row>
    <row r="142" spans="2:2">
      <c r="B142" s="105"/>
    </row>
    <row r="143" spans="2:2">
      <c r="B143" s="105"/>
    </row>
    <row r="144" spans="2:2">
      <c r="B144" s="105"/>
    </row>
    <row r="145" spans="2:2">
      <c r="B145" s="105"/>
    </row>
    <row r="146" spans="2:2">
      <c r="B146" s="105"/>
    </row>
    <row r="147" spans="2:2">
      <c r="B147" s="105"/>
    </row>
    <row r="148" spans="2:2">
      <c r="B148" s="105"/>
    </row>
    <row r="149" spans="2:2">
      <c r="B149" s="105"/>
    </row>
    <row r="150" spans="2:2">
      <c r="B150" s="105"/>
    </row>
    <row r="151" spans="2:2">
      <c r="B151" s="105"/>
    </row>
    <row r="152" spans="2:2">
      <c r="B152" s="105"/>
    </row>
    <row r="153" spans="2:2">
      <c r="B153" s="105"/>
    </row>
    <row r="154" spans="2:2">
      <c r="B154" s="105"/>
    </row>
    <row r="155" spans="2:2">
      <c r="B155" s="105"/>
    </row>
    <row r="156" spans="2:2">
      <c r="B156" s="105"/>
    </row>
    <row r="157" spans="2:2">
      <c r="B157" s="105"/>
    </row>
    <row r="158" spans="2:2">
      <c r="B158" s="105"/>
    </row>
    <row r="159" spans="2:2">
      <c r="B159" s="105"/>
    </row>
    <row r="160" spans="2:2">
      <c r="B160" s="105"/>
    </row>
    <row r="161" spans="2:2">
      <c r="B161" s="105"/>
    </row>
    <row r="162" spans="2:2">
      <c r="B162" s="105"/>
    </row>
    <row r="163" spans="2:2">
      <c r="B163" s="105"/>
    </row>
    <row r="164" spans="2:2">
      <c r="B164" s="105"/>
    </row>
    <row r="165" spans="2:2">
      <c r="B165" s="105"/>
    </row>
    <row r="166" spans="2:2">
      <c r="B166" s="105"/>
    </row>
    <row r="167" spans="2:2">
      <c r="B167" s="105"/>
    </row>
    <row r="168" spans="2:2">
      <c r="B168" s="105"/>
    </row>
    <row r="169" spans="2:2">
      <c r="B169" s="105"/>
    </row>
    <row r="170" spans="2:2">
      <c r="B170" s="105"/>
    </row>
    <row r="171" spans="2:2">
      <c r="B171" s="105"/>
    </row>
    <row r="172" spans="2:2">
      <c r="B172" s="105"/>
    </row>
    <row r="173" spans="2:2">
      <c r="B173" s="105"/>
    </row>
    <row r="174" spans="2:2">
      <c r="B174" s="105"/>
    </row>
    <row r="175" spans="2:2">
      <c r="B175" s="105"/>
    </row>
    <row r="176" spans="2:2">
      <c r="B176" s="105"/>
    </row>
    <row r="177" spans="2:2">
      <c r="B177" s="105"/>
    </row>
    <row r="178" spans="2:2">
      <c r="B178" s="105"/>
    </row>
    <row r="179" spans="2:2">
      <c r="B179" s="105"/>
    </row>
    <row r="180" spans="2:2">
      <c r="B180" s="105"/>
    </row>
    <row r="181" spans="2:2">
      <c r="B181" s="105"/>
    </row>
    <row r="182" spans="2:2">
      <c r="B182" s="105"/>
    </row>
    <row r="183" spans="2:2">
      <c r="B183" s="105"/>
    </row>
    <row r="184" spans="2:2">
      <c r="B184" s="105"/>
    </row>
    <row r="185" spans="2:2">
      <c r="B185" s="105"/>
    </row>
    <row r="186" spans="2:2">
      <c r="B186" s="105"/>
    </row>
    <row r="187" spans="2:2">
      <c r="B187" s="105"/>
    </row>
    <row r="188" spans="2:2">
      <c r="B188" s="105"/>
    </row>
    <row r="189" spans="2:2">
      <c r="B189" s="105"/>
    </row>
    <row r="190" spans="2:2">
      <c r="B190" s="105"/>
    </row>
    <row r="191" spans="2:2">
      <c r="B191" s="105"/>
    </row>
    <row r="192" spans="2:2">
      <c r="B192" s="105"/>
    </row>
    <row r="193" spans="2:2">
      <c r="B193" s="105"/>
    </row>
    <row r="194" spans="2:2">
      <c r="B194" s="105"/>
    </row>
    <row r="195" spans="2:2">
      <c r="B195" s="105"/>
    </row>
    <row r="196" spans="2:2">
      <c r="B196" s="105"/>
    </row>
    <row r="197" spans="2:2">
      <c r="B197" s="105"/>
    </row>
    <row r="198" spans="2:2">
      <c r="B198" s="105"/>
    </row>
    <row r="199" spans="2:2">
      <c r="B199" s="105"/>
    </row>
    <row r="200" spans="2:2">
      <c r="B200" s="105"/>
    </row>
    <row r="201" spans="2:2">
      <c r="B201" s="105"/>
    </row>
    <row r="202" spans="2:2">
      <c r="B202" s="105"/>
    </row>
    <row r="203" spans="2:2">
      <c r="B203" s="105"/>
    </row>
    <row r="204" spans="2:2">
      <c r="B204" s="105"/>
    </row>
    <row r="205" spans="2:2">
      <c r="B205" s="105"/>
    </row>
    <row r="206" spans="2:2">
      <c r="B206" s="105"/>
    </row>
    <row r="207" spans="2:2">
      <c r="B207" s="105"/>
    </row>
    <row r="208" spans="2:2">
      <c r="B208" s="105"/>
    </row>
    <row r="209" spans="2:2">
      <c r="B209" s="105"/>
    </row>
    <row r="210" spans="2:2">
      <c r="B210" s="105"/>
    </row>
    <row r="211" spans="2:2">
      <c r="B211" s="105"/>
    </row>
    <row r="212" spans="2:2">
      <c r="B212" s="105"/>
    </row>
    <row r="213" spans="2:2">
      <c r="B213" s="105"/>
    </row>
    <row r="214" spans="2:2">
      <c r="B214" s="105"/>
    </row>
    <row r="215" spans="2:2">
      <c r="B215" s="105"/>
    </row>
    <row r="216" spans="2:2">
      <c r="B216" s="105"/>
    </row>
    <row r="217" spans="2:2">
      <c r="B217" s="105"/>
    </row>
    <row r="218" spans="2:2">
      <c r="B218" s="105"/>
    </row>
    <row r="219" spans="2:2">
      <c r="B219" s="105"/>
    </row>
    <row r="220" spans="2:2">
      <c r="B220" s="105"/>
    </row>
    <row r="221" spans="2:2">
      <c r="B221" s="105"/>
    </row>
    <row r="222" spans="2:2">
      <c r="B222" s="105"/>
    </row>
    <row r="223" spans="2:2">
      <c r="B223" s="105"/>
    </row>
    <row r="224" spans="2:2">
      <c r="B224" s="105"/>
    </row>
    <row r="225" spans="2:2">
      <c r="B225" s="105"/>
    </row>
    <row r="226" spans="2:2">
      <c r="B226" s="105"/>
    </row>
    <row r="227" spans="2:2">
      <c r="B227" s="105"/>
    </row>
    <row r="228" spans="2:2">
      <c r="B228" s="105"/>
    </row>
    <row r="229" spans="2:2">
      <c r="B229" s="105"/>
    </row>
    <row r="230" spans="2:2">
      <c r="B230" s="105"/>
    </row>
    <row r="231" spans="2:2">
      <c r="B231" s="105"/>
    </row>
    <row r="232" spans="2:2">
      <c r="B232" s="105"/>
    </row>
    <row r="233" spans="2:2">
      <c r="B233" s="105"/>
    </row>
    <row r="234" spans="2:2">
      <c r="B234" s="105"/>
    </row>
    <row r="235" spans="2:2">
      <c r="B235" s="105"/>
    </row>
    <row r="236" spans="2:2">
      <c r="B236" s="105"/>
    </row>
    <row r="237" spans="2:2">
      <c r="B237" s="105"/>
    </row>
    <row r="238" spans="2:2">
      <c r="B238" s="105"/>
    </row>
    <row r="239" spans="2:2">
      <c r="B239" s="105"/>
    </row>
    <row r="240" spans="2:2">
      <c r="B240" s="105"/>
    </row>
    <row r="241" spans="2:2">
      <c r="B241" s="105"/>
    </row>
  </sheetData>
  <sortState ref="A8:K22">
    <sortCondition ref="B8:B22"/>
  </sortState>
  <mergeCells count="7">
    <mergeCell ref="B2:H2"/>
    <mergeCell ref="A6:H6"/>
    <mergeCell ref="A62:H62"/>
    <mergeCell ref="A94:B94"/>
    <mergeCell ref="D94:E94"/>
    <mergeCell ref="A4:B4"/>
    <mergeCell ref="A5:B5"/>
  </mergeCells>
  <printOptions horizontalCentered="1"/>
  <pageMargins left="0.59055118110236215" right="0.59055118110236215" top="0.98425196850393704" bottom="0.59055118110236215" header="0" footer="0"/>
  <pageSetup paperSize="9" scale="83" fitToHeight="0" orientation="landscape" blackAndWhite="1" r:id="rId1"/>
  <rowBreaks count="1" manualBreakCount="1">
    <brk id="27" max="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J198"/>
  <sheetViews>
    <sheetView zoomScale="60" zoomScaleNormal="60" zoomScaleSheetLayoutView="75" workbookViewId="0">
      <pane xSplit="2" ySplit="5" topLeftCell="C24" activePane="bottomRight" state="frozen"/>
      <selection pane="topRight" activeCell="C1" sqref="C1"/>
      <selection pane="bottomLeft" activeCell="A5" sqref="A5"/>
      <selection pane="bottomRight" activeCell="R34" sqref="R34"/>
    </sheetView>
  </sheetViews>
  <sheetFormatPr defaultColWidth="9.109375" defaultRowHeight="18"/>
  <cols>
    <col min="1" max="1" width="85" style="113" customWidth="1"/>
    <col min="2" max="2" width="15.33203125" style="5" customWidth="1"/>
    <col min="3" max="6" width="18.6640625" style="5" customWidth="1"/>
    <col min="7" max="7" width="15.5546875" style="5" customWidth="1"/>
    <col min="8" max="8" width="15" style="5" customWidth="1"/>
    <col min="9" max="9" width="10" style="113" customWidth="1"/>
    <col min="10" max="10" width="9.5546875" style="113" customWidth="1"/>
    <col min="11" max="16384" width="9.109375" style="113"/>
  </cols>
  <sheetData>
    <row r="1" spans="1:8">
      <c r="H1" s="114" t="s">
        <v>340</v>
      </c>
    </row>
    <row r="2" spans="1:8" ht="22.8">
      <c r="A2" s="419" t="s">
        <v>103</v>
      </c>
      <c r="B2" s="419"/>
      <c r="C2" s="419"/>
      <c r="D2" s="419"/>
      <c r="E2" s="419"/>
      <c r="F2" s="419"/>
      <c r="G2" s="419"/>
      <c r="H2" s="419"/>
    </row>
    <row r="3" spans="1:8">
      <c r="A3" s="422" t="s">
        <v>423</v>
      </c>
      <c r="B3" s="422"/>
      <c r="C3" s="422"/>
      <c r="D3" s="422"/>
      <c r="E3" s="422"/>
      <c r="F3" s="422"/>
      <c r="G3" s="422"/>
      <c r="H3" s="422"/>
    </row>
    <row r="4" spans="1:8" ht="43.5" customHeight="1">
      <c r="A4" s="423" t="s">
        <v>152</v>
      </c>
      <c r="B4" s="424" t="s">
        <v>18</v>
      </c>
      <c r="C4" s="425" t="s">
        <v>327</v>
      </c>
      <c r="D4" s="426"/>
      <c r="E4" s="427" t="s">
        <v>695</v>
      </c>
      <c r="F4" s="428"/>
      <c r="G4" s="428"/>
      <c r="H4" s="429"/>
    </row>
    <row r="5" spans="1:8" ht="36">
      <c r="A5" s="423"/>
      <c r="B5" s="424"/>
      <c r="C5" s="304" t="s">
        <v>703</v>
      </c>
      <c r="D5" s="304" t="s">
        <v>697</v>
      </c>
      <c r="E5" s="304" t="s">
        <v>143</v>
      </c>
      <c r="F5" s="304" t="s">
        <v>139</v>
      </c>
      <c r="G5" s="93" t="s">
        <v>149</v>
      </c>
      <c r="H5" s="93" t="s">
        <v>150</v>
      </c>
    </row>
    <row r="6" spans="1:8">
      <c r="A6" s="290">
        <v>1</v>
      </c>
      <c r="B6" s="291">
        <v>2</v>
      </c>
      <c r="C6" s="290">
        <v>3</v>
      </c>
      <c r="D6" s="291">
        <v>4</v>
      </c>
      <c r="E6" s="290">
        <v>5</v>
      </c>
      <c r="F6" s="291">
        <v>6</v>
      </c>
      <c r="G6" s="290">
        <v>7</v>
      </c>
      <c r="H6" s="291">
        <v>8</v>
      </c>
    </row>
    <row r="7" spans="1:8" ht="30" customHeight="1">
      <c r="A7" s="421" t="s">
        <v>102</v>
      </c>
      <c r="B7" s="421"/>
      <c r="C7" s="421"/>
      <c r="D7" s="421"/>
      <c r="E7" s="421"/>
      <c r="F7" s="421"/>
      <c r="G7" s="421"/>
      <c r="H7" s="421"/>
    </row>
    <row r="8" spans="1:8" ht="34.799999999999997">
      <c r="A8" s="37" t="s">
        <v>52</v>
      </c>
      <c r="B8" s="287">
        <v>2000</v>
      </c>
      <c r="C8" s="194">
        <v>-147878</v>
      </c>
      <c r="D8" s="194">
        <v>-161994</v>
      </c>
      <c r="E8" s="194">
        <v>-160907</v>
      </c>
      <c r="F8" s="194">
        <f>D8</f>
        <v>-161994</v>
      </c>
      <c r="G8" s="194" t="s">
        <v>31</v>
      </c>
      <c r="H8" s="139" t="s">
        <v>31</v>
      </c>
    </row>
    <row r="9" spans="1:8" ht="36">
      <c r="A9" s="2" t="s">
        <v>206</v>
      </c>
      <c r="B9" s="288">
        <v>2010</v>
      </c>
      <c r="C9" s="195">
        <f>SUM(C10:C10)</f>
        <v>0</v>
      </c>
      <c r="D9" s="195">
        <f t="shared" ref="D9:F9" si="0">SUM(D10:D10)</f>
        <v>0</v>
      </c>
      <c r="E9" s="195">
        <f t="shared" si="0"/>
        <v>0</v>
      </c>
      <c r="F9" s="195">
        <f t="shared" si="0"/>
        <v>0</v>
      </c>
      <c r="G9" s="195">
        <f t="shared" ref="G9" si="1">IF(F9="(    )",0,F9)-IF(E9="(    )",0,E9)</f>
        <v>0</v>
      </c>
      <c r="H9" s="69">
        <f t="shared" ref="H9" si="2">IF(IF(E9="(    )",0,E9)=0,0,IF(F9="(    )",0,F9)/IF(E9="(    )",0,E9))*100</f>
        <v>0</v>
      </c>
    </row>
    <row r="10" spans="1:8" ht="39.75" customHeight="1">
      <c r="A10" s="303" t="s">
        <v>417</v>
      </c>
      <c r="B10" s="288">
        <v>2011</v>
      </c>
      <c r="C10" s="195" t="s">
        <v>184</v>
      </c>
      <c r="D10" s="195" t="s">
        <v>184</v>
      </c>
      <c r="E10" s="195" t="s">
        <v>184</v>
      </c>
      <c r="F10" s="195" t="s">
        <v>184</v>
      </c>
      <c r="G10" s="195">
        <f t="shared" ref="G10" si="3">IF(F10="(    )",0,F10)-IF(E10="(    )",0,E10)</f>
        <v>0</v>
      </c>
      <c r="H10" s="69">
        <f t="shared" ref="H10" si="4">IF(IF(E10="(    )",0,E10)=0,0,IF(F10="(    )",0,F10)/IF(E10="(    )",0,E10))*100</f>
        <v>0</v>
      </c>
    </row>
    <row r="11" spans="1:8" ht="27" customHeight="1">
      <c r="A11" s="303" t="s">
        <v>117</v>
      </c>
      <c r="B11" s="288">
        <v>2020</v>
      </c>
      <c r="C11" s="195" t="s">
        <v>184</v>
      </c>
      <c r="D11" s="195" t="s">
        <v>184</v>
      </c>
      <c r="E11" s="195" t="s">
        <v>184</v>
      </c>
      <c r="F11" s="195" t="s">
        <v>184</v>
      </c>
      <c r="G11" s="195">
        <f t="shared" ref="G11:G15" si="5">IF(F11="(    )",0,F11)-IF(E11="(    )",0,E11)</f>
        <v>0</v>
      </c>
      <c r="H11" s="69">
        <f t="shared" ref="H11:H16" si="6">IF(IF(E11="(    )",0,E11)=0,0,IF(F11="(    )",0,F11)/IF(E11="(    )",0,E11))*100</f>
        <v>0</v>
      </c>
    </row>
    <row r="12" spans="1:8" ht="27" customHeight="1">
      <c r="A12" s="303" t="s">
        <v>61</v>
      </c>
      <c r="B12" s="288">
        <v>2030</v>
      </c>
      <c r="C12" s="195" t="s">
        <v>184</v>
      </c>
      <c r="D12" s="195" t="s">
        <v>184</v>
      </c>
      <c r="E12" s="195" t="s">
        <v>184</v>
      </c>
      <c r="F12" s="195" t="s">
        <v>184</v>
      </c>
      <c r="G12" s="195">
        <f t="shared" si="5"/>
        <v>0</v>
      </c>
      <c r="H12" s="69">
        <f t="shared" si="6"/>
        <v>0</v>
      </c>
    </row>
    <row r="13" spans="1:8" ht="27" customHeight="1">
      <c r="A13" s="303" t="s">
        <v>96</v>
      </c>
      <c r="B13" s="288">
        <v>2031</v>
      </c>
      <c r="C13" s="195" t="s">
        <v>184</v>
      </c>
      <c r="D13" s="195" t="s">
        <v>184</v>
      </c>
      <c r="E13" s="195" t="s">
        <v>184</v>
      </c>
      <c r="F13" s="195" t="s">
        <v>184</v>
      </c>
      <c r="G13" s="195">
        <f t="shared" si="5"/>
        <v>0</v>
      </c>
      <c r="H13" s="69">
        <f t="shared" si="6"/>
        <v>0</v>
      </c>
    </row>
    <row r="14" spans="1:8" ht="27" customHeight="1">
      <c r="A14" s="303" t="s">
        <v>26</v>
      </c>
      <c r="B14" s="288">
        <v>2040</v>
      </c>
      <c r="C14" s="195" t="s">
        <v>184</v>
      </c>
      <c r="D14" s="195" t="s">
        <v>184</v>
      </c>
      <c r="E14" s="195" t="s">
        <v>184</v>
      </c>
      <c r="F14" s="195" t="s">
        <v>184</v>
      </c>
      <c r="G14" s="195">
        <f t="shared" si="5"/>
        <v>0</v>
      </c>
      <c r="H14" s="69">
        <f t="shared" si="6"/>
        <v>0</v>
      </c>
    </row>
    <row r="15" spans="1:8" ht="27" customHeight="1">
      <c r="A15" s="303" t="s">
        <v>88</v>
      </c>
      <c r="B15" s="288">
        <v>2050</v>
      </c>
      <c r="C15" s="195" t="s">
        <v>184</v>
      </c>
      <c r="D15" s="195" t="s">
        <v>184</v>
      </c>
      <c r="E15" s="195" t="s">
        <v>184</v>
      </c>
      <c r="F15" s="195" t="s">
        <v>184</v>
      </c>
      <c r="G15" s="195">
        <f t="shared" si="5"/>
        <v>0</v>
      </c>
      <c r="H15" s="69">
        <f t="shared" si="6"/>
        <v>0</v>
      </c>
    </row>
    <row r="16" spans="1:8" ht="27" customHeight="1">
      <c r="A16" s="303" t="s">
        <v>617</v>
      </c>
      <c r="B16" s="288">
        <v>2060</v>
      </c>
      <c r="C16" s="195">
        <v>77</v>
      </c>
      <c r="D16" s="195">
        <v>61</v>
      </c>
      <c r="E16" s="195" t="s">
        <v>184</v>
      </c>
      <c r="F16" s="195">
        <f>D16</f>
        <v>61</v>
      </c>
      <c r="G16" s="195">
        <f>IF(F16="(    )",0,F16)-IF(E16="(    )",0,E16)</f>
        <v>61</v>
      </c>
      <c r="H16" s="69">
        <f t="shared" si="6"/>
        <v>0</v>
      </c>
    </row>
    <row r="17" spans="1:8" ht="34.799999999999997">
      <c r="A17" s="37" t="s">
        <v>53</v>
      </c>
      <c r="B17" s="287">
        <v>2070</v>
      </c>
      <c r="C17" s="194">
        <f>SUM(C8,C9,C11,C12,C14,C15,C16)+'I. Фін результат'!C75</f>
        <v>-161994</v>
      </c>
      <c r="D17" s="194">
        <f>SUM(D8,D9,D11,D12,D14,D15,D16)+'I. Фін результат'!D75</f>
        <v>-188370</v>
      </c>
      <c r="E17" s="194">
        <f>SUM(E8,E9,E11,E12,E14,E15,E16)+'I. Фін результат'!E75</f>
        <v>-160907</v>
      </c>
      <c r="F17" s="194">
        <f>SUM(F8,F9,F11,F12,F14,F15,F16)+'I. Фін результат'!F75</f>
        <v>-188370</v>
      </c>
      <c r="G17" s="85" t="s">
        <v>31</v>
      </c>
      <c r="H17" s="139" t="s">
        <v>31</v>
      </c>
    </row>
    <row r="18" spans="1:8" ht="30" customHeight="1">
      <c r="A18" s="421" t="s">
        <v>352</v>
      </c>
      <c r="B18" s="421"/>
      <c r="C18" s="421"/>
      <c r="D18" s="421"/>
      <c r="E18" s="421"/>
      <c r="F18" s="421"/>
      <c r="G18" s="421"/>
      <c r="H18" s="421"/>
    </row>
    <row r="19" spans="1:8" ht="34.799999999999997">
      <c r="A19" s="37" t="s">
        <v>353</v>
      </c>
      <c r="B19" s="287">
        <v>2110</v>
      </c>
      <c r="C19" s="194">
        <f>SUM(C20:C26)</f>
        <v>4735</v>
      </c>
      <c r="D19" s="194">
        <f t="shared" ref="D19:F19" si="7">SUM(D20:D26)</f>
        <v>6409</v>
      </c>
      <c r="E19" s="194">
        <f t="shared" si="7"/>
        <v>6733</v>
      </c>
      <c r="F19" s="194">
        <f t="shared" si="7"/>
        <v>6409</v>
      </c>
      <c r="G19" s="194">
        <f t="shared" ref="G19" si="8">IF(F19="(    )",0,F19)-IF(E19="(    )",0,E19)</f>
        <v>-324</v>
      </c>
      <c r="H19" s="85">
        <f t="shared" ref="H19" si="9">IF(IF(E19="(    )",0,E19)=0,0,IF(F19="(    )",0,F19)/IF(E19="(    )",0,E19))*100</f>
        <v>95.187880588147934</v>
      </c>
    </row>
    <row r="20" spans="1:8" ht="27" customHeight="1">
      <c r="A20" s="303" t="s">
        <v>283</v>
      </c>
      <c r="B20" s="288">
        <v>2111</v>
      </c>
      <c r="C20" s="195">
        <v>279</v>
      </c>
      <c r="D20" s="195">
        <v>900</v>
      </c>
      <c r="E20" s="195">
        <v>600</v>
      </c>
      <c r="F20" s="195">
        <f>D20</f>
        <v>900</v>
      </c>
      <c r="G20" s="195">
        <f t="shared" ref="G20:G43" si="10">IF(F20="(    )",0,F20)-IF(E20="(    )",0,E20)</f>
        <v>300</v>
      </c>
      <c r="H20" s="69">
        <f t="shared" ref="H20:H43" si="11">IF(IF(E20="(    )",0,E20)=0,0,IF(F20="(    )",0,F20)/IF(E20="(    )",0,E20))*100</f>
        <v>150</v>
      </c>
    </row>
    <row r="21" spans="1:8" ht="36">
      <c r="A21" s="303" t="s">
        <v>284</v>
      </c>
      <c r="B21" s="288">
        <v>2112</v>
      </c>
      <c r="C21" s="195" t="s">
        <v>184</v>
      </c>
      <c r="D21" s="195" t="str">
        <f t="shared" ref="D21:D26" si="12">F21</f>
        <v>(    )</v>
      </c>
      <c r="E21" s="195" t="s">
        <v>184</v>
      </c>
      <c r="F21" s="195" t="s">
        <v>184</v>
      </c>
      <c r="G21" s="195">
        <f t="shared" si="10"/>
        <v>0</v>
      </c>
      <c r="H21" s="69">
        <f t="shared" si="11"/>
        <v>0</v>
      </c>
    </row>
    <row r="22" spans="1:8" ht="27" customHeight="1">
      <c r="A22" s="303" t="s">
        <v>71</v>
      </c>
      <c r="B22" s="288">
        <v>2113</v>
      </c>
      <c r="C22" s="195"/>
      <c r="D22" s="195">
        <f t="shared" si="12"/>
        <v>0</v>
      </c>
      <c r="E22" s="195"/>
      <c r="F22" s="195"/>
      <c r="G22" s="195">
        <f t="shared" si="10"/>
        <v>0</v>
      </c>
      <c r="H22" s="69">
        <f t="shared" si="11"/>
        <v>0</v>
      </c>
    </row>
    <row r="23" spans="1:8" ht="27" customHeight="1">
      <c r="A23" s="303" t="s">
        <v>79</v>
      </c>
      <c r="B23" s="288">
        <v>2114</v>
      </c>
      <c r="C23" s="195"/>
      <c r="D23" s="195">
        <f t="shared" si="12"/>
        <v>0</v>
      </c>
      <c r="E23" s="195"/>
      <c r="F23" s="195"/>
      <c r="G23" s="195">
        <f t="shared" si="10"/>
        <v>0</v>
      </c>
      <c r="H23" s="69">
        <f t="shared" si="11"/>
        <v>0</v>
      </c>
    </row>
    <row r="24" spans="1:8" ht="27" customHeight="1">
      <c r="A24" s="303" t="s">
        <v>291</v>
      </c>
      <c r="B24" s="288">
        <v>2115</v>
      </c>
      <c r="C24" s="195"/>
      <c r="D24" s="195">
        <f t="shared" si="12"/>
        <v>0</v>
      </c>
      <c r="E24" s="195"/>
      <c r="F24" s="195"/>
      <c r="G24" s="195">
        <f t="shared" si="10"/>
        <v>0</v>
      </c>
      <c r="H24" s="69">
        <f t="shared" si="11"/>
        <v>0</v>
      </c>
    </row>
    <row r="25" spans="1:8" ht="27" customHeight="1">
      <c r="A25" s="303" t="s">
        <v>361</v>
      </c>
      <c r="B25" s="288">
        <v>2116</v>
      </c>
      <c r="C25" s="195">
        <v>4456</v>
      </c>
      <c r="D25" s="195">
        <v>5509</v>
      </c>
      <c r="E25" s="195">
        <v>6132</v>
      </c>
      <c r="F25" s="195">
        <f>D25</f>
        <v>5509</v>
      </c>
      <c r="G25" s="195">
        <f t="shared" si="10"/>
        <v>-623</v>
      </c>
      <c r="H25" s="69">
        <f t="shared" si="11"/>
        <v>89.840182648401822</v>
      </c>
    </row>
    <row r="26" spans="1:8" ht="27" customHeight="1">
      <c r="A26" s="303" t="s">
        <v>816</v>
      </c>
      <c r="B26" s="288">
        <v>2117</v>
      </c>
      <c r="C26" s="195"/>
      <c r="D26" s="195">
        <f t="shared" si="12"/>
        <v>0</v>
      </c>
      <c r="E26" s="195">
        <v>1</v>
      </c>
      <c r="F26" s="195"/>
      <c r="G26" s="195">
        <f t="shared" si="10"/>
        <v>-1</v>
      </c>
      <c r="H26" s="69">
        <f t="shared" si="11"/>
        <v>0</v>
      </c>
    </row>
    <row r="27" spans="1:8" ht="34.799999999999997">
      <c r="A27" s="37" t="s">
        <v>362</v>
      </c>
      <c r="B27" s="3">
        <v>2120</v>
      </c>
      <c r="C27" s="194">
        <f>SUM(C28:C35)</f>
        <v>53457</v>
      </c>
      <c r="D27" s="194">
        <f t="shared" ref="D27:F27" si="13">SUM(D28:D35)</f>
        <v>66119</v>
      </c>
      <c r="E27" s="194">
        <f t="shared" si="13"/>
        <v>73602</v>
      </c>
      <c r="F27" s="194">
        <f t="shared" si="13"/>
        <v>66119</v>
      </c>
      <c r="G27" s="194">
        <f t="shared" si="10"/>
        <v>-7483</v>
      </c>
      <c r="H27" s="85">
        <f t="shared" si="11"/>
        <v>89.833156707698151</v>
      </c>
    </row>
    <row r="28" spans="1:8" ht="27" customHeight="1">
      <c r="A28" s="2" t="s">
        <v>213</v>
      </c>
      <c r="B28" s="290">
        <v>2121</v>
      </c>
      <c r="C28" s="195"/>
      <c r="D28" s="195"/>
      <c r="E28" s="195"/>
      <c r="F28" s="195"/>
      <c r="G28" s="195">
        <f t="shared" si="10"/>
        <v>0</v>
      </c>
      <c r="H28" s="69">
        <f t="shared" si="11"/>
        <v>0</v>
      </c>
    </row>
    <row r="29" spans="1:8" ht="27" customHeight="1">
      <c r="A29" s="303" t="s">
        <v>70</v>
      </c>
      <c r="B29" s="288">
        <v>2122</v>
      </c>
      <c r="C29" s="195">
        <v>53443</v>
      </c>
      <c r="D29" s="195">
        <v>66113</v>
      </c>
      <c r="E29" s="195">
        <v>73588</v>
      </c>
      <c r="F29" s="195">
        <f>D29</f>
        <v>66113</v>
      </c>
      <c r="G29" s="195">
        <f t="shared" si="10"/>
        <v>-7475</v>
      </c>
      <c r="H29" s="69">
        <f t="shared" si="11"/>
        <v>89.842093819644504</v>
      </c>
    </row>
    <row r="30" spans="1:8" ht="27" customHeight="1">
      <c r="A30" s="303" t="s">
        <v>71</v>
      </c>
      <c r="B30" s="288">
        <v>2123</v>
      </c>
      <c r="C30" s="195"/>
      <c r="D30" s="195">
        <f t="shared" ref="D30:D34" si="14">F30</f>
        <v>0</v>
      </c>
      <c r="E30" s="195"/>
      <c r="F30" s="195"/>
      <c r="G30" s="195">
        <f t="shared" si="10"/>
        <v>0</v>
      </c>
      <c r="H30" s="69">
        <f t="shared" si="11"/>
        <v>0</v>
      </c>
    </row>
    <row r="31" spans="1:8" ht="27" customHeight="1">
      <c r="A31" s="303" t="s">
        <v>285</v>
      </c>
      <c r="B31" s="288">
        <v>2124</v>
      </c>
      <c r="C31" s="195">
        <v>7</v>
      </c>
      <c r="D31" s="195"/>
      <c r="E31" s="195">
        <v>6</v>
      </c>
      <c r="F31" s="195"/>
      <c r="G31" s="195">
        <f t="shared" si="10"/>
        <v>-6</v>
      </c>
      <c r="H31" s="69">
        <f t="shared" si="11"/>
        <v>0</v>
      </c>
    </row>
    <row r="32" spans="1:8" ht="27" customHeight="1">
      <c r="A32" s="303" t="s">
        <v>286</v>
      </c>
      <c r="B32" s="288">
        <v>2125</v>
      </c>
      <c r="C32" s="195"/>
      <c r="D32" s="195">
        <f t="shared" si="14"/>
        <v>0</v>
      </c>
      <c r="E32" s="195"/>
      <c r="F32" s="195"/>
      <c r="G32" s="195">
        <f t="shared" si="10"/>
        <v>0</v>
      </c>
      <c r="H32" s="69">
        <f t="shared" si="11"/>
        <v>0</v>
      </c>
    </row>
    <row r="33" spans="1:9" ht="54">
      <c r="A33" s="303" t="s">
        <v>416</v>
      </c>
      <c r="B33" s="288">
        <v>2126</v>
      </c>
      <c r="C33" s="195"/>
      <c r="D33" s="195">
        <f t="shared" si="14"/>
        <v>0</v>
      </c>
      <c r="E33" s="195"/>
      <c r="F33" s="195"/>
      <c r="G33" s="195">
        <f t="shared" si="10"/>
        <v>0</v>
      </c>
      <c r="H33" s="69">
        <f t="shared" si="11"/>
        <v>0</v>
      </c>
    </row>
    <row r="34" spans="1:9" ht="27" customHeight="1">
      <c r="A34" s="303" t="s">
        <v>291</v>
      </c>
      <c r="B34" s="288">
        <v>2127</v>
      </c>
      <c r="C34" s="195"/>
      <c r="D34" s="195">
        <f t="shared" si="14"/>
        <v>0</v>
      </c>
      <c r="E34" s="195"/>
      <c r="F34" s="195"/>
      <c r="G34" s="195">
        <f t="shared" si="10"/>
        <v>0</v>
      </c>
      <c r="H34" s="69">
        <f t="shared" si="11"/>
        <v>0</v>
      </c>
    </row>
    <row r="35" spans="1:9" ht="27" customHeight="1">
      <c r="A35" s="303" t="s">
        <v>525</v>
      </c>
      <c r="B35" s="288">
        <v>2128</v>
      </c>
      <c r="C35" s="195">
        <v>7</v>
      </c>
      <c r="D35" s="195">
        <v>6</v>
      </c>
      <c r="E35" s="195">
        <v>8</v>
      </c>
      <c r="F35" s="195">
        <f>D35</f>
        <v>6</v>
      </c>
      <c r="G35" s="195">
        <f t="shared" si="10"/>
        <v>-2</v>
      </c>
      <c r="H35" s="69">
        <f t="shared" si="11"/>
        <v>75</v>
      </c>
    </row>
    <row r="36" spans="1:9" ht="34.799999999999997">
      <c r="A36" s="37" t="s">
        <v>395</v>
      </c>
      <c r="B36" s="3">
        <v>2130</v>
      </c>
      <c r="C36" s="194">
        <f>SUM(C37:C39)</f>
        <v>63103</v>
      </c>
      <c r="D36" s="194">
        <f t="shared" ref="D36:F36" si="15">SUM(D37:D39)</f>
        <v>76308</v>
      </c>
      <c r="E36" s="194">
        <f t="shared" si="15"/>
        <v>89992</v>
      </c>
      <c r="F36" s="194">
        <f t="shared" si="15"/>
        <v>76308</v>
      </c>
      <c r="G36" s="194">
        <f t="shared" si="10"/>
        <v>-13684</v>
      </c>
      <c r="H36" s="85">
        <f t="shared" si="11"/>
        <v>84.794203929238151</v>
      </c>
    </row>
    <row r="37" spans="1:9" ht="27" customHeight="1">
      <c r="A37" s="303" t="s">
        <v>287</v>
      </c>
      <c r="B37" s="288">
        <v>2131</v>
      </c>
      <c r="C37" s="195"/>
      <c r="D37" s="195"/>
      <c r="E37" s="195"/>
      <c r="F37" s="195"/>
      <c r="G37" s="195">
        <f t="shared" si="10"/>
        <v>0</v>
      </c>
      <c r="H37" s="69">
        <f t="shared" si="11"/>
        <v>0</v>
      </c>
    </row>
    <row r="38" spans="1:9" ht="27" customHeight="1">
      <c r="A38" s="303" t="s">
        <v>288</v>
      </c>
      <c r="B38" s="288">
        <v>2132</v>
      </c>
      <c r="C38" s="195">
        <v>63103</v>
      </c>
      <c r="D38" s="195">
        <v>76308</v>
      </c>
      <c r="E38" s="195">
        <v>89943</v>
      </c>
      <c r="F38" s="195">
        <f>D38</f>
        <v>76308</v>
      </c>
      <c r="G38" s="195">
        <f t="shared" si="10"/>
        <v>-13635</v>
      </c>
      <c r="H38" s="69">
        <f t="shared" si="11"/>
        <v>84.840398919315561</v>
      </c>
    </row>
    <row r="39" spans="1:9" ht="27" customHeight="1">
      <c r="A39" s="303" t="s">
        <v>526</v>
      </c>
      <c r="B39" s="288">
        <v>2133</v>
      </c>
      <c r="C39" s="195"/>
      <c r="D39" s="195"/>
      <c r="E39" s="195">
        <v>49</v>
      </c>
      <c r="F39" s="195"/>
      <c r="G39" s="195">
        <f t="shared" si="10"/>
        <v>-49</v>
      </c>
      <c r="H39" s="69">
        <f t="shared" si="11"/>
        <v>0</v>
      </c>
    </row>
    <row r="40" spans="1:9" ht="30" customHeight="1">
      <c r="A40" s="37" t="s">
        <v>289</v>
      </c>
      <c r="B40" s="3">
        <v>2140</v>
      </c>
      <c r="C40" s="194">
        <f>SUM(C41:C42)</f>
        <v>0</v>
      </c>
      <c r="D40" s="194">
        <f t="shared" ref="D40:F40" si="16">SUM(D41:D42)</f>
        <v>0</v>
      </c>
      <c r="E40" s="194">
        <f t="shared" si="16"/>
        <v>0</v>
      </c>
      <c r="F40" s="194">
        <f t="shared" si="16"/>
        <v>0</v>
      </c>
      <c r="G40" s="194">
        <f t="shared" si="10"/>
        <v>0</v>
      </c>
      <c r="H40" s="85">
        <f t="shared" si="11"/>
        <v>0</v>
      </c>
    </row>
    <row r="41" spans="1:9" ht="36">
      <c r="A41" s="2" t="s">
        <v>97</v>
      </c>
      <c r="B41" s="290">
        <v>2141</v>
      </c>
      <c r="C41" s="195"/>
      <c r="D41" s="195"/>
      <c r="E41" s="195"/>
      <c r="F41" s="195"/>
      <c r="G41" s="195">
        <f t="shared" si="10"/>
        <v>0</v>
      </c>
      <c r="H41" s="69">
        <f t="shared" si="11"/>
        <v>0</v>
      </c>
    </row>
    <row r="42" spans="1:9" ht="27" customHeight="1">
      <c r="A42" s="303" t="s">
        <v>418</v>
      </c>
      <c r="B42" s="288">
        <v>2142</v>
      </c>
      <c r="C42" s="195"/>
      <c r="D42" s="195"/>
      <c r="E42" s="195"/>
      <c r="F42" s="195"/>
      <c r="G42" s="195">
        <f t="shared" si="10"/>
        <v>0</v>
      </c>
      <c r="H42" s="69">
        <f t="shared" si="11"/>
        <v>0</v>
      </c>
    </row>
    <row r="43" spans="1:9" ht="30" customHeight="1">
      <c r="A43" s="37" t="s">
        <v>333</v>
      </c>
      <c r="B43" s="3">
        <v>2200</v>
      </c>
      <c r="C43" s="194">
        <f>SUM(C19,C27,C36,C40)</f>
        <v>121295</v>
      </c>
      <c r="D43" s="194">
        <f t="shared" ref="D43:F43" si="17">SUM(D19,D27,D36,D40)</f>
        <v>148836</v>
      </c>
      <c r="E43" s="194">
        <f t="shared" si="17"/>
        <v>170327</v>
      </c>
      <c r="F43" s="194">
        <f t="shared" si="17"/>
        <v>148836</v>
      </c>
      <c r="G43" s="194">
        <f t="shared" si="10"/>
        <v>-21491</v>
      </c>
      <c r="H43" s="85">
        <f t="shared" si="11"/>
        <v>87.382505416052652</v>
      </c>
    </row>
    <row r="44" spans="1:9" s="115" customFormat="1">
      <c r="A44" s="4"/>
      <c r="B44" s="5"/>
      <c r="C44" s="5"/>
      <c r="D44" s="5"/>
      <c r="E44" s="5"/>
      <c r="F44" s="5"/>
      <c r="G44" s="5"/>
      <c r="H44" s="5"/>
    </row>
    <row r="45" spans="1:9" s="115" customFormat="1">
      <c r="A45" s="4"/>
      <c r="B45" s="5"/>
      <c r="C45" s="5"/>
      <c r="D45" s="5"/>
      <c r="E45" s="5"/>
      <c r="F45" s="5"/>
      <c r="G45" s="5"/>
      <c r="H45" s="5"/>
    </row>
    <row r="46" spans="1:9" s="115" customFormat="1">
      <c r="A46" s="4"/>
      <c r="B46" s="5"/>
      <c r="C46" s="5"/>
      <c r="D46" s="5"/>
      <c r="E46" s="5"/>
      <c r="F46" s="5"/>
      <c r="G46" s="5"/>
      <c r="H46" s="5"/>
    </row>
    <row r="47" spans="1:9" s="52" customFormat="1" ht="18" customHeight="1">
      <c r="A47" s="405" t="s">
        <v>523</v>
      </c>
      <c r="B47" s="405"/>
      <c r="C47" s="282"/>
      <c r="D47" s="406" t="s">
        <v>80</v>
      </c>
      <c r="E47" s="406"/>
      <c r="F47" s="171"/>
      <c r="G47" s="299" t="s">
        <v>524</v>
      </c>
      <c r="H47" s="309"/>
      <c r="I47" s="299"/>
    </row>
    <row r="48" spans="1:9" s="116" customFormat="1" ht="15.6">
      <c r="A48" s="289"/>
      <c r="C48" s="420"/>
      <c r="D48" s="420"/>
      <c r="F48" s="420"/>
      <c r="G48" s="420"/>
      <c r="H48" s="420"/>
    </row>
    <row r="49" spans="1:10" s="5" customFormat="1">
      <c r="A49" s="6"/>
      <c r="I49" s="113"/>
      <c r="J49" s="113"/>
    </row>
    <row r="50" spans="1:10" s="5" customFormat="1">
      <c r="A50" s="6"/>
      <c r="I50" s="113"/>
      <c r="J50" s="113"/>
    </row>
    <row r="51" spans="1:10" s="5" customFormat="1">
      <c r="A51" s="6"/>
      <c r="I51" s="113"/>
      <c r="J51" s="113"/>
    </row>
    <row r="52" spans="1:10" s="5" customFormat="1">
      <c r="A52" s="6"/>
      <c r="I52" s="113"/>
      <c r="J52" s="113"/>
    </row>
    <row r="53" spans="1:10" s="5" customFormat="1">
      <c r="A53" s="6"/>
      <c r="I53" s="113"/>
      <c r="J53" s="113"/>
    </row>
    <row r="54" spans="1:10" s="5" customFormat="1">
      <c r="A54" s="6"/>
      <c r="I54" s="113"/>
      <c r="J54" s="113"/>
    </row>
    <row r="55" spans="1:10" s="5" customFormat="1">
      <c r="A55" s="6"/>
      <c r="I55" s="113"/>
      <c r="J55" s="113"/>
    </row>
    <row r="56" spans="1:10" s="5" customFormat="1">
      <c r="A56" s="6"/>
      <c r="I56" s="113"/>
      <c r="J56" s="113"/>
    </row>
    <row r="57" spans="1:10" s="5" customFormat="1">
      <c r="A57" s="6"/>
      <c r="I57" s="113"/>
      <c r="J57" s="113"/>
    </row>
    <row r="58" spans="1:10" s="5" customFormat="1">
      <c r="A58" s="6"/>
      <c r="I58" s="113"/>
      <c r="J58" s="113"/>
    </row>
    <row r="59" spans="1:10" s="5" customFormat="1">
      <c r="A59" s="6"/>
      <c r="I59" s="113"/>
      <c r="J59" s="113"/>
    </row>
    <row r="60" spans="1:10" s="5" customFormat="1">
      <c r="A60" s="6"/>
      <c r="I60" s="113"/>
      <c r="J60" s="113"/>
    </row>
    <row r="61" spans="1:10" s="5" customFormat="1">
      <c r="A61" s="6"/>
      <c r="I61" s="113"/>
      <c r="J61" s="113"/>
    </row>
    <row r="62" spans="1:10" s="5" customFormat="1">
      <c r="A62" s="6"/>
      <c r="I62" s="113"/>
      <c r="J62" s="113"/>
    </row>
    <row r="63" spans="1:10" s="5" customFormat="1">
      <c r="A63" s="6"/>
      <c r="I63" s="113"/>
      <c r="J63" s="113"/>
    </row>
    <row r="64" spans="1:10" s="5" customFormat="1">
      <c r="A64" s="6"/>
      <c r="I64" s="113"/>
      <c r="J64" s="113"/>
    </row>
    <row r="65" spans="1:10" s="5" customFormat="1">
      <c r="A65" s="6"/>
      <c r="I65" s="113"/>
      <c r="J65" s="113"/>
    </row>
    <row r="66" spans="1:10" s="5" customFormat="1">
      <c r="A66" s="6"/>
      <c r="I66" s="113"/>
      <c r="J66" s="113"/>
    </row>
    <row r="67" spans="1:10" s="5" customFormat="1">
      <c r="A67" s="6"/>
      <c r="I67" s="113"/>
      <c r="J67" s="113"/>
    </row>
    <row r="68" spans="1:10" s="5" customFormat="1">
      <c r="A68" s="6"/>
      <c r="I68" s="113"/>
      <c r="J68" s="113"/>
    </row>
    <row r="69" spans="1:10" s="5" customFormat="1">
      <c r="A69" s="6"/>
      <c r="I69" s="113"/>
      <c r="J69" s="113"/>
    </row>
    <row r="70" spans="1:10" s="5" customFormat="1">
      <c r="A70" s="6"/>
      <c r="I70" s="113"/>
      <c r="J70" s="113"/>
    </row>
    <row r="71" spans="1:10" s="5" customFormat="1">
      <c r="A71" s="6"/>
      <c r="I71" s="113"/>
      <c r="J71" s="113"/>
    </row>
    <row r="72" spans="1:10" s="5" customFormat="1">
      <c r="A72" s="6"/>
      <c r="I72" s="113"/>
      <c r="J72" s="113"/>
    </row>
    <row r="73" spans="1:10" s="5" customFormat="1">
      <c r="A73" s="6"/>
      <c r="I73" s="113"/>
      <c r="J73" s="113"/>
    </row>
    <row r="74" spans="1:10" s="5" customFormat="1">
      <c r="A74" s="6"/>
      <c r="I74" s="113"/>
      <c r="J74" s="113"/>
    </row>
    <row r="75" spans="1:10" s="5" customFormat="1">
      <c r="A75" s="6"/>
      <c r="I75" s="113"/>
      <c r="J75" s="113"/>
    </row>
    <row r="76" spans="1:10" s="5" customFormat="1">
      <c r="A76" s="6"/>
      <c r="I76" s="113"/>
      <c r="J76" s="113"/>
    </row>
    <row r="77" spans="1:10" s="5" customFormat="1">
      <c r="A77" s="6"/>
      <c r="I77" s="113"/>
      <c r="J77" s="113"/>
    </row>
    <row r="78" spans="1:10" s="5" customFormat="1">
      <c r="A78" s="6"/>
      <c r="I78" s="113"/>
      <c r="J78" s="113"/>
    </row>
    <row r="79" spans="1:10" s="5" customFormat="1">
      <c r="A79" s="6"/>
      <c r="I79" s="113"/>
      <c r="J79" s="113"/>
    </row>
    <row r="80" spans="1:10" s="5" customFormat="1">
      <c r="A80" s="6"/>
      <c r="I80" s="113"/>
      <c r="J80" s="113"/>
    </row>
    <row r="81" spans="1:10" s="5" customFormat="1">
      <c r="A81" s="6"/>
      <c r="I81" s="113"/>
      <c r="J81" s="113"/>
    </row>
    <row r="82" spans="1:10" s="5" customFormat="1">
      <c r="A82" s="6"/>
      <c r="I82" s="113"/>
      <c r="J82" s="113"/>
    </row>
    <row r="83" spans="1:10" s="5" customFormat="1">
      <c r="A83" s="6"/>
      <c r="I83" s="113"/>
      <c r="J83" s="113"/>
    </row>
    <row r="84" spans="1:10" s="5" customFormat="1">
      <c r="A84" s="6"/>
      <c r="I84" s="113"/>
      <c r="J84" s="113"/>
    </row>
    <row r="85" spans="1:10" s="5" customFormat="1">
      <c r="A85" s="6"/>
      <c r="I85" s="113"/>
      <c r="J85" s="113"/>
    </row>
    <row r="86" spans="1:10" s="5" customFormat="1">
      <c r="A86" s="6"/>
      <c r="I86" s="113"/>
      <c r="J86" s="113"/>
    </row>
    <row r="87" spans="1:10" s="5" customFormat="1">
      <c r="A87" s="6"/>
      <c r="I87" s="113"/>
      <c r="J87" s="113"/>
    </row>
    <row r="88" spans="1:10" s="5" customFormat="1">
      <c r="A88" s="6"/>
      <c r="I88" s="113"/>
      <c r="J88" s="113"/>
    </row>
    <row r="89" spans="1:10" s="5" customFormat="1">
      <c r="A89" s="6"/>
      <c r="I89" s="113"/>
      <c r="J89" s="113"/>
    </row>
    <row r="90" spans="1:10" s="5" customFormat="1">
      <c r="A90" s="6"/>
      <c r="I90" s="113"/>
      <c r="J90" s="113"/>
    </row>
    <row r="91" spans="1:10" s="5" customFormat="1">
      <c r="A91" s="6"/>
      <c r="I91" s="113"/>
      <c r="J91" s="113"/>
    </row>
    <row r="92" spans="1:10" s="5" customFormat="1">
      <c r="A92" s="6"/>
      <c r="I92" s="113"/>
      <c r="J92" s="113"/>
    </row>
    <row r="93" spans="1:10" s="5" customFormat="1">
      <c r="A93" s="6"/>
      <c r="I93" s="113"/>
      <c r="J93" s="113"/>
    </row>
    <row r="94" spans="1:10" s="5" customFormat="1">
      <c r="A94" s="6"/>
      <c r="I94" s="113"/>
      <c r="J94" s="113"/>
    </row>
    <row r="95" spans="1:10" s="5" customFormat="1">
      <c r="A95" s="6"/>
      <c r="I95" s="113"/>
      <c r="J95" s="113"/>
    </row>
    <row r="96" spans="1:10" s="5" customFormat="1">
      <c r="A96" s="6"/>
      <c r="I96" s="113"/>
      <c r="J96" s="113"/>
    </row>
    <row r="97" spans="1:10" s="5" customFormat="1">
      <c r="A97" s="6"/>
      <c r="I97" s="113"/>
      <c r="J97" s="113"/>
    </row>
    <row r="98" spans="1:10" s="5" customFormat="1">
      <c r="A98" s="6"/>
      <c r="I98" s="113"/>
      <c r="J98" s="113"/>
    </row>
    <row r="99" spans="1:10" s="5" customFormat="1">
      <c r="A99" s="6"/>
      <c r="I99" s="113"/>
      <c r="J99" s="113"/>
    </row>
    <row r="100" spans="1:10" s="5" customFormat="1">
      <c r="A100" s="6"/>
      <c r="I100" s="113"/>
      <c r="J100" s="113"/>
    </row>
    <row r="101" spans="1:10" s="5" customFormat="1">
      <c r="A101" s="6"/>
      <c r="I101" s="113"/>
      <c r="J101" s="113"/>
    </row>
    <row r="102" spans="1:10" s="5" customFormat="1">
      <c r="A102" s="6"/>
      <c r="I102" s="113"/>
      <c r="J102" s="113"/>
    </row>
    <row r="103" spans="1:10" s="5" customFormat="1">
      <c r="A103" s="6"/>
      <c r="I103" s="113"/>
      <c r="J103" s="113"/>
    </row>
    <row r="104" spans="1:10" s="5" customFormat="1">
      <c r="A104" s="6"/>
      <c r="I104" s="113"/>
      <c r="J104" s="113"/>
    </row>
    <row r="105" spans="1:10" s="5" customFormat="1">
      <c r="A105" s="6"/>
      <c r="I105" s="113"/>
      <c r="J105" s="113"/>
    </row>
    <row r="106" spans="1:10" s="5" customFormat="1">
      <c r="A106" s="6"/>
      <c r="I106" s="113"/>
      <c r="J106" s="113"/>
    </row>
    <row r="107" spans="1:10" s="5" customFormat="1">
      <c r="A107" s="6"/>
      <c r="I107" s="113"/>
      <c r="J107" s="113"/>
    </row>
    <row r="108" spans="1:10" s="5" customFormat="1">
      <c r="A108" s="6"/>
      <c r="I108" s="113"/>
      <c r="J108" s="113"/>
    </row>
    <row r="109" spans="1:10" s="5" customFormat="1">
      <c r="A109" s="6"/>
      <c r="I109" s="113"/>
      <c r="J109" s="113"/>
    </row>
    <row r="110" spans="1:10" s="5" customFormat="1">
      <c r="A110" s="6"/>
      <c r="I110" s="113"/>
      <c r="J110" s="113"/>
    </row>
    <row r="111" spans="1:10" s="5" customFormat="1">
      <c r="A111" s="6"/>
      <c r="I111" s="113"/>
      <c r="J111" s="113"/>
    </row>
    <row r="112" spans="1:10" s="5" customFormat="1">
      <c r="A112" s="6"/>
      <c r="I112" s="113"/>
      <c r="J112" s="113"/>
    </row>
    <row r="113" spans="1:10" s="5" customFormat="1">
      <c r="A113" s="6"/>
      <c r="I113" s="113"/>
      <c r="J113" s="113"/>
    </row>
    <row r="114" spans="1:10" s="5" customFormat="1">
      <c r="A114" s="6"/>
      <c r="I114" s="113"/>
      <c r="J114" s="113"/>
    </row>
    <row r="115" spans="1:10" s="5" customFormat="1">
      <c r="A115" s="6"/>
      <c r="I115" s="113"/>
      <c r="J115" s="113"/>
    </row>
    <row r="116" spans="1:10" s="5" customFormat="1">
      <c r="A116" s="6"/>
      <c r="I116" s="113"/>
      <c r="J116" s="113"/>
    </row>
    <row r="117" spans="1:10" s="5" customFormat="1">
      <c r="A117" s="6"/>
      <c r="I117" s="113"/>
      <c r="J117" s="113"/>
    </row>
    <row r="118" spans="1:10" s="5" customFormat="1">
      <c r="A118" s="6"/>
      <c r="I118" s="113"/>
      <c r="J118" s="113"/>
    </row>
    <row r="119" spans="1:10" s="5" customFormat="1">
      <c r="A119" s="6"/>
      <c r="I119" s="113"/>
      <c r="J119" s="113"/>
    </row>
    <row r="120" spans="1:10" s="5" customFormat="1">
      <c r="A120" s="6"/>
      <c r="I120" s="113"/>
      <c r="J120" s="113"/>
    </row>
    <row r="121" spans="1:10" s="5" customFormat="1">
      <c r="A121" s="6"/>
      <c r="I121" s="113"/>
      <c r="J121" s="113"/>
    </row>
    <row r="122" spans="1:10" s="5" customFormat="1">
      <c r="A122" s="6"/>
      <c r="I122" s="113"/>
      <c r="J122" s="113"/>
    </row>
    <row r="123" spans="1:10" s="5" customFormat="1">
      <c r="A123" s="6"/>
      <c r="I123" s="113"/>
      <c r="J123" s="113"/>
    </row>
    <row r="124" spans="1:10" s="5" customFormat="1">
      <c r="A124" s="6"/>
      <c r="I124" s="113"/>
      <c r="J124" s="113"/>
    </row>
    <row r="125" spans="1:10" s="5" customFormat="1">
      <c r="A125" s="6"/>
      <c r="I125" s="113"/>
      <c r="J125" s="113"/>
    </row>
    <row r="126" spans="1:10" s="5" customFormat="1">
      <c r="A126" s="6"/>
      <c r="I126" s="113"/>
      <c r="J126" s="113"/>
    </row>
    <row r="127" spans="1:10" s="5" customFormat="1">
      <c r="A127" s="6"/>
      <c r="I127" s="113"/>
      <c r="J127" s="113"/>
    </row>
    <row r="128" spans="1:10" s="5" customFormat="1">
      <c r="A128" s="6"/>
      <c r="I128" s="113"/>
      <c r="J128" s="113"/>
    </row>
    <row r="129" spans="1:10" s="5" customFormat="1">
      <c r="A129" s="6"/>
      <c r="I129" s="113"/>
      <c r="J129" s="113"/>
    </row>
    <row r="130" spans="1:10" s="5" customFormat="1">
      <c r="A130" s="6"/>
      <c r="I130" s="113"/>
      <c r="J130" s="113"/>
    </row>
    <row r="131" spans="1:10" s="5" customFormat="1">
      <c r="A131" s="6"/>
      <c r="I131" s="113"/>
      <c r="J131" s="113"/>
    </row>
    <row r="132" spans="1:10" s="5" customFormat="1">
      <c r="A132" s="6"/>
      <c r="I132" s="113"/>
      <c r="J132" s="113"/>
    </row>
    <row r="133" spans="1:10" s="5" customFormat="1">
      <c r="A133" s="6"/>
      <c r="I133" s="113"/>
      <c r="J133" s="113"/>
    </row>
    <row r="134" spans="1:10" s="5" customFormat="1">
      <c r="A134" s="6"/>
      <c r="I134" s="113"/>
      <c r="J134" s="113"/>
    </row>
    <row r="135" spans="1:10" s="5" customFormat="1">
      <c r="A135" s="6"/>
      <c r="I135" s="113"/>
      <c r="J135" s="113"/>
    </row>
    <row r="136" spans="1:10" s="5" customFormat="1">
      <c r="A136" s="6"/>
      <c r="I136" s="113"/>
      <c r="J136" s="113"/>
    </row>
    <row r="137" spans="1:10" s="5" customFormat="1">
      <c r="A137" s="6"/>
      <c r="I137" s="113"/>
      <c r="J137" s="113"/>
    </row>
    <row r="138" spans="1:10" s="5" customFormat="1">
      <c r="A138" s="6"/>
      <c r="I138" s="113"/>
      <c r="J138" s="113"/>
    </row>
    <row r="139" spans="1:10" s="5" customFormat="1">
      <c r="A139" s="6"/>
      <c r="I139" s="113"/>
      <c r="J139" s="113"/>
    </row>
    <row r="140" spans="1:10" s="5" customFormat="1">
      <c r="A140" s="6"/>
      <c r="I140" s="113"/>
      <c r="J140" s="113"/>
    </row>
    <row r="141" spans="1:10" s="5" customFormat="1">
      <c r="A141" s="6"/>
      <c r="I141" s="113"/>
      <c r="J141" s="113"/>
    </row>
    <row r="142" spans="1:10" s="5" customFormat="1">
      <c r="A142" s="6"/>
      <c r="I142" s="113"/>
      <c r="J142" s="113"/>
    </row>
    <row r="143" spans="1:10" s="5" customFormat="1">
      <c r="A143" s="6"/>
      <c r="I143" s="113"/>
      <c r="J143" s="113"/>
    </row>
    <row r="144" spans="1:10" s="5" customFormat="1">
      <c r="A144" s="6"/>
      <c r="I144" s="113"/>
      <c r="J144" s="113"/>
    </row>
    <row r="145" spans="1:10" s="5" customFormat="1">
      <c r="A145" s="6"/>
      <c r="I145" s="113"/>
      <c r="J145" s="113"/>
    </row>
    <row r="146" spans="1:10" s="5" customFormat="1">
      <c r="A146" s="6"/>
      <c r="I146" s="113"/>
      <c r="J146" s="113"/>
    </row>
    <row r="147" spans="1:10" s="5" customFormat="1">
      <c r="A147" s="6"/>
      <c r="I147" s="113"/>
      <c r="J147" s="113"/>
    </row>
    <row r="148" spans="1:10" s="5" customFormat="1">
      <c r="A148" s="6"/>
      <c r="I148" s="113"/>
      <c r="J148" s="113"/>
    </row>
    <row r="149" spans="1:10" s="5" customFormat="1">
      <c r="A149" s="6"/>
      <c r="I149" s="113"/>
      <c r="J149" s="113"/>
    </row>
    <row r="150" spans="1:10" s="5" customFormat="1">
      <c r="A150" s="6"/>
      <c r="I150" s="113"/>
      <c r="J150" s="113"/>
    </row>
    <row r="151" spans="1:10" s="5" customFormat="1">
      <c r="A151" s="6"/>
      <c r="I151" s="113"/>
      <c r="J151" s="113"/>
    </row>
    <row r="152" spans="1:10" s="5" customFormat="1">
      <c r="A152" s="6"/>
      <c r="I152" s="113"/>
      <c r="J152" s="113"/>
    </row>
    <row r="153" spans="1:10" s="5" customFormat="1">
      <c r="A153" s="6"/>
      <c r="I153" s="113"/>
      <c r="J153" s="113"/>
    </row>
    <row r="154" spans="1:10" s="5" customFormat="1">
      <c r="A154" s="6"/>
      <c r="I154" s="113"/>
      <c r="J154" s="113"/>
    </row>
    <row r="155" spans="1:10" s="5" customFormat="1">
      <c r="A155" s="6"/>
      <c r="I155" s="113"/>
      <c r="J155" s="113"/>
    </row>
    <row r="156" spans="1:10" s="5" customFormat="1">
      <c r="A156" s="6"/>
      <c r="I156" s="113"/>
      <c r="J156" s="113"/>
    </row>
    <row r="157" spans="1:10" s="5" customFormat="1">
      <c r="A157" s="6"/>
      <c r="I157" s="113"/>
      <c r="J157" s="113"/>
    </row>
    <row r="158" spans="1:10" s="5" customFormat="1">
      <c r="A158" s="6"/>
      <c r="I158" s="113"/>
      <c r="J158" s="113"/>
    </row>
    <row r="159" spans="1:10" s="5" customFormat="1">
      <c r="A159" s="6"/>
      <c r="I159" s="113"/>
      <c r="J159" s="113"/>
    </row>
    <row r="160" spans="1:10" s="5" customFormat="1">
      <c r="A160" s="6"/>
      <c r="I160" s="113"/>
      <c r="J160" s="113"/>
    </row>
    <row r="161" spans="1:10" s="5" customFormat="1">
      <c r="A161" s="6"/>
      <c r="I161" s="113"/>
      <c r="J161" s="113"/>
    </row>
    <row r="162" spans="1:10" s="5" customFormat="1">
      <c r="A162" s="6"/>
      <c r="I162" s="113"/>
      <c r="J162" s="113"/>
    </row>
    <row r="163" spans="1:10" s="5" customFormat="1">
      <c r="A163" s="6"/>
      <c r="I163" s="113"/>
      <c r="J163" s="113"/>
    </row>
    <row r="164" spans="1:10" s="5" customFormat="1">
      <c r="A164" s="6"/>
      <c r="I164" s="113"/>
      <c r="J164" s="113"/>
    </row>
    <row r="165" spans="1:10" s="5" customFormat="1">
      <c r="A165" s="6"/>
      <c r="I165" s="113"/>
      <c r="J165" s="113"/>
    </row>
    <row r="166" spans="1:10" s="5" customFormat="1">
      <c r="A166" s="6"/>
      <c r="I166" s="113"/>
      <c r="J166" s="113"/>
    </row>
    <row r="167" spans="1:10" s="5" customFormat="1">
      <c r="A167" s="6"/>
      <c r="I167" s="113"/>
      <c r="J167" s="113"/>
    </row>
    <row r="168" spans="1:10" s="5" customFormat="1">
      <c r="A168" s="6"/>
      <c r="I168" s="113"/>
      <c r="J168" s="113"/>
    </row>
    <row r="169" spans="1:10" s="5" customFormat="1">
      <c r="A169" s="6"/>
      <c r="I169" s="113"/>
      <c r="J169" s="113"/>
    </row>
    <row r="170" spans="1:10" s="5" customFormat="1">
      <c r="A170" s="6"/>
      <c r="I170" s="113"/>
      <c r="J170" s="113"/>
    </row>
    <row r="171" spans="1:10" s="5" customFormat="1">
      <c r="A171" s="6"/>
      <c r="I171" s="113"/>
      <c r="J171" s="113"/>
    </row>
    <row r="172" spans="1:10" s="5" customFormat="1">
      <c r="A172" s="6"/>
      <c r="I172" s="113"/>
      <c r="J172" s="113"/>
    </row>
    <row r="173" spans="1:10" s="5" customFormat="1">
      <c r="A173" s="6"/>
      <c r="I173" s="113"/>
      <c r="J173" s="113"/>
    </row>
    <row r="174" spans="1:10" s="5" customFormat="1">
      <c r="A174" s="6"/>
      <c r="I174" s="113"/>
      <c r="J174" s="113"/>
    </row>
    <row r="175" spans="1:10" s="5" customFormat="1">
      <c r="A175" s="6"/>
      <c r="I175" s="113"/>
      <c r="J175" s="113"/>
    </row>
    <row r="176" spans="1:10" s="5" customFormat="1">
      <c r="A176" s="6"/>
      <c r="I176" s="113"/>
      <c r="J176" s="113"/>
    </row>
    <row r="177" spans="1:10" s="5" customFormat="1">
      <c r="A177" s="6"/>
      <c r="I177" s="113"/>
      <c r="J177" s="113"/>
    </row>
    <row r="178" spans="1:10" s="5" customFormat="1">
      <c r="A178" s="6"/>
      <c r="I178" s="113"/>
      <c r="J178" s="113"/>
    </row>
    <row r="179" spans="1:10" s="5" customFormat="1">
      <c r="A179" s="6"/>
      <c r="I179" s="113"/>
      <c r="J179" s="113"/>
    </row>
    <row r="180" spans="1:10" s="5" customFormat="1">
      <c r="A180" s="6"/>
      <c r="I180" s="113"/>
      <c r="J180" s="113"/>
    </row>
    <row r="181" spans="1:10" s="5" customFormat="1">
      <c r="A181" s="6"/>
      <c r="I181" s="113"/>
      <c r="J181" s="113"/>
    </row>
    <row r="182" spans="1:10" s="5" customFormat="1">
      <c r="A182" s="6"/>
      <c r="I182" s="113"/>
      <c r="J182" s="113"/>
    </row>
    <row r="183" spans="1:10" s="5" customFormat="1">
      <c r="A183" s="6"/>
      <c r="I183" s="113"/>
      <c r="J183" s="113"/>
    </row>
    <row r="184" spans="1:10" s="5" customFormat="1">
      <c r="A184" s="6"/>
      <c r="I184" s="113"/>
      <c r="J184" s="113"/>
    </row>
    <row r="185" spans="1:10" s="5" customFormat="1">
      <c r="A185" s="6"/>
      <c r="I185" s="113"/>
      <c r="J185" s="113"/>
    </row>
    <row r="186" spans="1:10" s="5" customFormat="1">
      <c r="A186" s="6"/>
      <c r="I186" s="113"/>
      <c r="J186" s="113"/>
    </row>
    <row r="187" spans="1:10" s="5" customFormat="1">
      <c r="A187" s="6"/>
      <c r="I187" s="113"/>
      <c r="J187" s="113"/>
    </row>
    <row r="188" spans="1:10" s="5" customFormat="1">
      <c r="A188" s="6"/>
      <c r="I188" s="113"/>
      <c r="J188" s="113"/>
    </row>
    <row r="189" spans="1:10" s="5" customFormat="1">
      <c r="A189" s="6"/>
      <c r="I189" s="113"/>
      <c r="J189" s="113"/>
    </row>
    <row r="190" spans="1:10" s="5" customFormat="1">
      <c r="A190" s="6"/>
      <c r="I190" s="113"/>
      <c r="J190" s="113"/>
    </row>
    <row r="191" spans="1:10" s="5" customFormat="1">
      <c r="A191" s="6"/>
      <c r="I191" s="113"/>
      <c r="J191" s="113"/>
    </row>
    <row r="192" spans="1:10" s="5" customFormat="1">
      <c r="A192" s="6"/>
      <c r="I192" s="113"/>
      <c r="J192" s="113"/>
    </row>
    <row r="193" spans="1:10" s="5" customFormat="1">
      <c r="A193" s="6"/>
      <c r="I193" s="113"/>
      <c r="J193" s="113"/>
    </row>
    <row r="194" spans="1:10" s="5" customFormat="1">
      <c r="A194" s="6"/>
      <c r="I194" s="113"/>
      <c r="J194" s="113"/>
    </row>
    <row r="195" spans="1:10" s="5" customFormat="1">
      <c r="A195" s="6"/>
      <c r="I195" s="113"/>
      <c r="J195" s="113"/>
    </row>
    <row r="196" spans="1:10" s="5" customFormat="1">
      <c r="A196" s="6"/>
      <c r="I196" s="113"/>
      <c r="J196" s="113"/>
    </row>
    <row r="197" spans="1:10" s="5" customFormat="1">
      <c r="A197" s="6"/>
      <c r="I197" s="113"/>
      <c r="J197" s="113"/>
    </row>
    <row r="198" spans="1:10" s="5" customFormat="1">
      <c r="A198" s="6"/>
      <c r="I198" s="113"/>
      <c r="J198" s="113"/>
    </row>
  </sheetData>
  <mergeCells count="12">
    <mergeCell ref="A2:H2"/>
    <mergeCell ref="C48:D48"/>
    <mergeCell ref="F48:H48"/>
    <mergeCell ref="A7:H7"/>
    <mergeCell ref="A18:H18"/>
    <mergeCell ref="A3:H3"/>
    <mergeCell ref="A4:A5"/>
    <mergeCell ref="B4:B5"/>
    <mergeCell ref="C4:D4"/>
    <mergeCell ref="E4:H4"/>
    <mergeCell ref="A47:B47"/>
    <mergeCell ref="D47:E47"/>
  </mergeCells>
  <phoneticPr fontId="3" type="noConversion"/>
  <printOptions horizontalCentered="1"/>
  <pageMargins left="0.59055118110236215" right="0.59055118110236215" top="0.98425196850393704" bottom="0.59055118110236215" header="0" footer="0"/>
  <pageSetup paperSize="9" scale="66" fitToHeight="8" orientation="landscape" blackAndWhite="1" verticalDpi="300" r:id="rId1"/>
  <headerFooter alignWithMargins="0"/>
  <rowBreaks count="1" manualBreakCount="1">
    <brk id="24" max="7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L77"/>
  <sheetViews>
    <sheetView topLeftCell="A52" zoomScale="60" zoomScaleNormal="60" zoomScaleSheetLayoutView="75" workbookViewId="0">
      <selection activeCell="F69" sqref="F69"/>
    </sheetView>
  </sheetViews>
  <sheetFormatPr defaultColWidth="9.109375" defaultRowHeight="18"/>
  <cols>
    <col min="1" max="1" width="88" style="305" customWidth="1"/>
    <col min="2" max="2" width="15" style="305" customWidth="1"/>
    <col min="3" max="7" width="20.44140625" style="305" customWidth="1"/>
    <col min="8" max="8" width="18.44140625" style="305" customWidth="1"/>
    <col min="9" max="16384" width="9.109375" style="305"/>
  </cols>
  <sheetData>
    <row r="1" spans="1:8" ht="20.399999999999999">
      <c r="H1" s="313" t="s">
        <v>341</v>
      </c>
    </row>
    <row r="2" spans="1:8" ht="22.8">
      <c r="A2" s="393" t="s">
        <v>220</v>
      </c>
      <c r="B2" s="393"/>
      <c r="C2" s="393"/>
      <c r="D2" s="393"/>
      <c r="E2" s="393"/>
      <c r="F2" s="393"/>
      <c r="G2" s="393"/>
      <c r="H2" s="393"/>
    </row>
    <row r="3" spans="1:8">
      <c r="A3" s="18"/>
      <c r="B3" s="18"/>
      <c r="C3" s="18"/>
      <c r="D3" s="18"/>
      <c r="E3" s="125"/>
      <c r="F3" s="18"/>
      <c r="G3" s="18"/>
      <c r="H3" s="18" t="s">
        <v>423</v>
      </c>
    </row>
    <row r="4" spans="1:8" ht="59.25" customHeight="1">
      <c r="A4" s="389" t="s">
        <v>152</v>
      </c>
      <c r="B4" s="430" t="s">
        <v>0</v>
      </c>
      <c r="C4" s="389" t="s">
        <v>275</v>
      </c>
      <c r="D4" s="389"/>
      <c r="E4" s="390" t="s">
        <v>695</v>
      </c>
      <c r="F4" s="390"/>
      <c r="G4" s="390"/>
      <c r="H4" s="390"/>
    </row>
    <row r="5" spans="1:8" ht="56.25" customHeight="1">
      <c r="A5" s="389"/>
      <c r="B5" s="430"/>
      <c r="C5" s="284" t="s">
        <v>704</v>
      </c>
      <c r="D5" s="284" t="s">
        <v>697</v>
      </c>
      <c r="E5" s="284" t="s">
        <v>143</v>
      </c>
      <c r="F5" s="284" t="s">
        <v>139</v>
      </c>
      <c r="G5" s="96" t="s">
        <v>149</v>
      </c>
      <c r="H5" s="96" t="s">
        <v>150</v>
      </c>
    </row>
    <row r="6" spans="1:8" ht="22.5" customHeight="1">
      <c r="A6" s="96">
        <v>1</v>
      </c>
      <c r="B6" s="310">
        <v>2</v>
      </c>
      <c r="C6" s="96">
        <v>3</v>
      </c>
      <c r="D6" s="310">
        <v>4</v>
      </c>
      <c r="E6" s="96">
        <v>5</v>
      </c>
      <c r="F6" s="310">
        <v>6</v>
      </c>
      <c r="G6" s="96">
        <v>7</v>
      </c>
      <c r="H6" s="310">
        <v>8</v>
      </c>
    </row>
    <row r="7" spans="1:8" ht="27.75" customHeight="1">
      <c r="A7" s="45" t="s">
        <v>231</v>
      </c>
      <c r="B7" s="47"/>
      <c r="C7" s="47"/>
      <c r="D7" s="47"/>
      <c r="E7" s="47"/>
      <c r="F7" s="47"/>
      <c r="G7" s="47"/>
      <c r="H7" s="48"/>
    </row>
    <row r="8" spans="1:8" s="117" customFormat="1" ht="30" customHeight="1">
      <c r="A8" s="49" t="s">
        <v>207</v>
      </c>
      <c r="B8" s="50">
        <v>3000</v>
      </c>
      <c r="C8" s="335">
        <f>SUM(C9:C10,C12:C17)</f>
        <v>694863</v>
      </c>
      <c r="D8" s="335">
        <f>SUM(D9:D10,D12:D17)</f>
        <v>826265</v>
      </c>
      <c r="E8" s="335">
        <f t="shared" ref="E8" si="0">SUM(E9:E10,E12:E17)</f>
        <v>1229024</v>
      </c>
      <c r="F8" s="335">
        <f>SUM(F9:F10,F12:F17)</f>
        <v>826265</v>
      </c>
      <c r="G8" s="192">
        <f t="shared" ref="G8" si="1">IF(F8="(    )",0,F8)-IF(E8="(    )",0,E8)</f>
        <v>-402759</v>
      </c>
      <c r="H8" s="74">
        <f t="shared" ref="H8" si="2">IF(IF(E8="(    )",0,E8)=0,0,IF(F8="(    )",0,F8)/IF(E8="(    )",0,E8))*100</f>
        <v>67.229362486005158</v>
      </c>
    </row>
    <row r="9" spans="1:8" ht="27.75" customHeight="1">
      <c r="A9" s="300" t="s">
        <v>304</v>
      </c>
      <c r="B9" s="40">
        <v>3010</v>
      </c>
      <c r="C9" s="336">
        <v>113132</v>
      </c>
      <c r="D9" s="336">
        <v>349378</v>
      </c>
      <c r="E9" s="336">
        <v>333979</v>
      </c>
      <c r="F9" s="336">
        <f>D9</f>
        <v>349378</v>
      </c>
      <c r="G9" s="193">
        <f>IF(F9="(    )",0,F9)-IF(E9="(    )",0,E9)</f>
        <v>15399</v>
      </c>
      <c r="H9" s="78">
        <f>IF(IF(E9="(    )",0,E9)=0,0,IF(F9="(    )",0,F9)/IF(E9="(    )",0,E9))*100</f>
        <v>104.61076894056214</v>
      </c>
    </row>
    <row r="10" spans="1:8" ht="27.75" customHeight="1">
      <c r="A10" s="300" t="s">
        <v>221</v>
      </c>
      <c r="B10" s="40">
        <v>3020</v>
      </c>
      <c r="C10" s="336"/>
      <c r="D10" s="336"/>
      <c r="E10" s="336"/>
      <c r="F10" s="336"/>
      <c r="G10" s="193">
        <f t="shared" ref="G10:G68" si="3">IF(F10="(    )",0,F10)-IF(E10="(    )",0,E10)</f>
        <v>0</v>
      </c>
      <c r="H10" s="78">
        <f t="shared" ref="H10:H66" si="4">IF(IF(E10="(    )",0,E10)=0,0,IF(F10="(    )",0,F10)/IF(E10="(    )",0,E10))*100</f>
        <v>0</v>
      </c>
    </row>
    <row r="11" spans="1:8" ht="27.75" customHeight="1">
      <c r="A11" s="300" t="s">
        <v>222</v>
      </c>
      <c r="B11" s="40">
        <v>3021</v>
      </c>
      <c r="C11" s="336"/>
      <c r="D11" s="336"/>
      <c r="E11" s="336"/>
      <c r="F11" s="336"/>
      <c r="G11" s="193">
        <f t="shared" si="3"/>
        <v>0</v>
      </c>
      <c r="H11" s="78">
        <f t="shared" si="4"/>
        <v>0</v>
      </c>
    </row>
    <row r="12" spans="1:8" ht="27.75" customHeight="1">
      <c r="A12" s="300" t="s">
        <v>303</v>
      </c>
      <c r="B12" s="40">
        <v>3030</v>
      </c>
      <c r="C12" s="336">
        <f>'Розшифровка до Руху'!D8</f>
        <v>572386</v>
      </c>
      <c r="D12" s="336">
        <f>'Розшифровка до Руху'!F8</f>
        <v>456878</v>
      </c>
      <c r="E12" s="336">
        <f>'Розшифровка до Руху'!E8</f>
        <v>888095</v>
      </c>
      <c r="F12" s="336">
        <f>'Розшифровка до Руху'!F8</f>
        <v>456878</v>
      </c>
      <c r="G12" s="193">
        <f t="shared" si="3"/>
        <v>-431217</v>
      </c>
      <c r="H12" s="78">
        <f t="shared" si="4"/>
        <v>51.444721566949482</v>
      </c>
    </row>
    <row r="13" spans="1:8" ht="27.75" customHeight="1">
      <c r="A13" s="300" t="s">
        <v>407</v>
      </c>
      <c r="B13" s="40">
        <v>3040</v>
      </c>
      <c r="C13" s="336"/>
      <c r="D13" s="336"/>
      <c r="E13" s="336"/>
      <c r="F13" s="336"/>
      <c r="G13" s="193">
        <f t="shared" si="3"/>
        <v>0</v>
      </c>
      <c r="H13" s="78">
        <f t="shared" si="4"/>
        <v>0</v>
      </c>
    </row>
    <row r="14" spans="1:8" ht="27.75" customHeight="1">
      <c r="A14" s="300" t="s">
        <v>208</v>
      </c>
      <c r="B14" s="40">
        <v>3050</v>
      </c>
      <c r="C14" s="336">
        <v>72</v>
      </c>
      <c r="D14" s="336">
        <v>17</v>
      </c>
      <c r="E14" s="336"/>
      <c r="F14" s="336">
        <f>D14</f>
        <v>17</v>
      </c>
      <c r="G14" s="193">
        <f t="shared" si="3"/>
        <v>17</v>
      </c>
      <c r="H14" s="78">
        <f t="shared" si="4"/>
        <v>0</v>
      </c>
    </row>
    <row r="15" spans="1:8" ht="27.75" customHeight="1">
      <c r="A15" s="300" t="s">
        <v>427</v>
      </c>
      <c r="B15" s="40">
        <v>3060</v>
      </c>
      <c r="C15" s="336">
        <v>22</v>
      </c>
      <c r="D15" s="336">
        <v>14</v>
      </c>
      <c r="E15" s="336"/>
      <c r="F15" s="336">
        <f t="shared" ref="F15:F16" si="5">D15</f>
        <v>14</v>
      </c>
      <c r="G15" s="193">
        <f t="shared" si="3"/>
        <v>14</v>
      </c>
      <c r="H15" s="78">
        <f t="shared" si="4"/>
        <v>0</v>
      </c>
    </row>
    <row r="16" spans="1:8" ht="46.5" customHeight="1">
      <c r="A16" s="300" t="s">
        <v>363</v>
      </c>
      <c r="B16" s="40">
        <v>3070</v>
      </c>
      <c r="C16" s="336">
        <v>1850</v>
      </c>
      <c r="D16" s="336">
        <v>7671</v>
      </c>
      <c r="E16" s="336"/>
      <c r="F16" s="336">
        <f t="shared" si="5"/>
        <v>7671</v>
      </c>
      <c r="G16" s="193">
        <f t="shared" si="3"/>
        <v>7671</v>
      </c>
      <c r="H16" s="78">
        <f t="shared" si="4"/>
        <v>0</v>
      </c>
    </row>
    <row r="17" spans="1:8" ht="31.5" customHeight="1">
      <c r="A17" s="300" t="s">
        <v>305</v>
      </c>
      <c r="B17" s="40">
        <v>3080</v>
      </c>
      <c r="C17" s="336">
        <f>'Розшифровка до Руху'!D21</f>
        <v>7401</v>
      </c>
      <c r="D17" s="336">
        <f>'Розшифровка до Руху'!F21</f>
        <v>12307</v>
      </c>
      <c r="E17" s="336">
        <f>'Розшифровка до Руху'!E21</f>
        <v>6950</v>
      </c>
      <c r="F17" s="336">
        <f>D17</f>
        <v>12307</v>
      </c>
      <c r="G17" s="193">
        <f t="shared" si="3"/>
        <v>5357</v>
      </c>
      <c r="H17" s="78">
        <f t="shared" si="4"/>
        <v>177.07913669064749</v>
      </c>
    </row>
    <row r="18" spans="1:8" s="117" customFormat="1" ht="30" customHeight="1">
      <c r="A18" s="49" t="s">
        <v>215</v>
      </c>
      <c r="B18" s="50">
        <v>3100</v>
      </c>
      <c r="C18" s="335">
        <f>SUM(C19:C21,C32:C33)</f>
        <v>-666565</v>
      </c>
      <c r="D18" s="335">
        <f t="shared" ref="D18:F18" si="6">SUM(D19:D21,D32:D33)</f>
        <v>-792681</v>
      </c>
      <c r="E18" s="335">
        <f t="shared" si="6"/>
        <v>-1216999</v>
      </c>
      <c r="F18" s="335">
        <f t="shared" si="6"/>
        <v>-792681</v>
      </c>
      <c r="G18" s="192">
        <f t="shared" si="3"/>
        <v>424318</v>
      </c>
      <c r="H18" s="74">
        <f t="shared" si="4"/>
        <v>65.134071597429411</v>
      </c>
    </row>
    <row r="19" spans="1:8" ht="27.75" customHeight="1">
      <c r="A19" s="300" t="s">
        <v>211</v>
      </c>
      <c r="B19" s="40">
        <v>3110</v>
      </c>
      <c r="C19" s="336">
        <v>-273125</v>
      </c>
      <c r="D19" s="336">
        <v>-311078</v>
      </c>
      <c r="E19" s="336">
        <v>-680933</v>
      </c>
      <c r="F19" s="336">
        <f>D19</f>
        <v>-311078</v>
      </c>
      <c r="G19" s="193">
        <f t="shared" si="3"/>
        <v>369855</v>
      </c>
      <c r="H19" s="78">
        <f t="shared" si="4"/>
        <v>45.684083456081581</v>
      </c>
    </row>
    <row r="20" spans="1:8" ht="27.75" customHeight="1">
      <c r="A20" s="300" t="s">
        <v>212</v>
      </c>
      <c r="B20" s="40">
        <v>3120</v>
      </c>
      <c r="C20" s="336">
        <v>-233085</v>
      </c>
      <c r="D20" s="336">
        <v>-289116</v>
      </c>
      <c r="E20" s="336">
        <v>-329096</v>
      </c>
      <c r="F20" s="336">
        <f t="shared" ref="F20:F32" si="7">D20</f>
        <v>-289116</v>
      </c>
      <c r="G20" s="193">
        <f t="shared" si="3"/>
        <v>39980</v>
      </c>
      <c r="H20" s="78">
        <f t="shared" si="4"/>
        <v>87.851569146996624</v>
      </c>
    </row>
    <row r="21" spans="1:8" ht="42" customHeight="1">
      <c r="A21" s="300" t="s">
        <v>223</v>
      </c>
      <c r="B21" s="40">
        <v>3130</v>
      </c>
      <c r="C21" s="336">
        <v>-123048</v>
      </c>
      <c r="D21" s="336">
        <v>-152381</v>
      </c>
      <c r="E21" s="336">
        <v>-169727</v>
      </c>
      <c r="F21" s="336">
        <f t="shared" si="7"/>
        <v>-152381</v>
      </c>
      <c r="G21" s="193">
        <f t="shared" si="3"/>
        <v>17346</v>
      </c>
      <c r="H21" s="78">
        <f t="shared" si="4"/>
        <v>89.78005856463615</v>
      </c>
    </row>
    <row r="22" spans="1:8" ht="27.75" customHeight="1">
      <c r="A22" s="300" t="s">
        <v>213</v>
      </c>
      <c r="B22" s="40">
        <v>3131</v>
      </c>
      <c r="C22" s="336" t="s">
        <v>184</v>
      </c>
      <c r="D22" s="336" t="s">
        <v>184</v>
      </c>
      <c r="E22" s="336" t="s">
        <v>184</v>
      </c>
      <c r="F22" s="336" t="str">
        <f t="shared" si="7"/>
        <v>(    )</v>
      </c>
      <c r="G22" s="193">
        <f t="shared" si="3"/>
        <v>0</v>
      </c>
      <c r="H22" s="78">
        <f t="shared" si="4"/>
        <v>0</v>
      </c>
    </row>
    <row r="23" spans="1:8" ht="27.75" customHeight="1">
      <c r="A23" s="300" t="s">
        <v>214</v>
      </c>
      <c r="B23" s="40">
        <v>3132</v>
      </c>
      <c r="C23" s="336">
        <v>-370</v>
      </c>
      <c r="D23" s="336">
        <v>-904</v>
      </c>
      <c r="E23" s="336"/>
      <c r="F23" s="336">
        <f t="shared" si="7"/>
        <v>-904</v>
      </c>
      <c r="G23" s="193">
        <f t="shared" si="3"/>
        <v>-904</v>
      </c>
      <c r="H23" s="78">
        <f t="shared" si="4"/>
        <v>0</v>
      </c>
    </row>
    <row r="24" spans="1:8" ht="27.75" customHeight="1">
      <c r="A24" s="300" t="s">
        <v>70</v>
      </c>
      <c r="B24" s="40">
        <v>3133</v>
      </c>
      <c r="C24" s="336">
        <v>-54962</v>
      </c>
      <c r="D24" s="336">
        <v>-67886</v>
      </c>
      <c r="E24" s="336">
        <v>-73588</v>
      </c>
      <c r="F24" s="336">
        <f t="shared" si="7"/>
        <v>-67886</v>
      </c>
      <c r="G24" s="193">
        <f t="shared" si="3"/>
        <v>5702</v>
      </c>
      <c r="H24" s="78">
        <f t="shared" si="4"/>
        <v>92.251454041419805</v>
      </c>
    </row>
    <row r="25" spans="1:8" ht="27.75" customHeight="1">
      <c r="A25" s="300" t="s">
        <v>71</v>
      </c>
      <c r="B25" s="40">
        <v>3134</v>
      </c>
      <c r="C25" s="336" t="s">
        <v>184</v>
      </c>
      <c r="D25" s="336" t="s">
        <v>184</v>
      </c>
      <c r="E25" s="336" t="s">
        <v>184</v>
      </c>
      <c r="F25" s="336" t="str">
        <f t="shared" si="7"/>
        <v>(    )</v>
      </c>
      <c r="G25" s="193">
        <f t="shared" si="3"/>
        <v>0</v>
      </c>
      <c r="H25" s="78">
        <f t="shared" si="4"/>
        <v>0</v>
      </c>
    </row>
    <row r="26" spans="1:8" ht="27.75" customHeight="1">
      <c r="A26" s="300" t="s">
        <v>285</v>
      </c>
      <c r="B26" s="40">
        <v>3135</v>
      </c>
      <c r="C26" s="336">
        <v>-7</v>
      </c>
      <c r="D26" s="336"/>
      <c r="E26" s="336">
        <v>-6</v>
      </c>
      <c r="F26" s="336">
        <f t="shared" si="7"/>
        <v>0</v>
      </c>
      <c r="G26" s="193">
        <f t="shared" si="3"/>
        <v>6</v>
      </c>
      <c r="H26" s="78">
        <f t="shared" si="4"/>
        <v>0</v>
      </c>
    </row>
    <row r="27" spans="1:8" ht="27.75" customHeight="1">
      <c r="A27" s="300" t="s">
        <v>286</v>
      </c>
      <c r="B27" s="40">
        <v>3136</v>
      </c>
      <c r="C27" s="336" t="s">
        <v>184</v>
      </c>
      <c r="D27" s="336" t="s">
        <v>184</v>
      </c>
      <c r="E27" s="336" t="s">
        <v>184</v>
      </c>
      <c r="F27" s="336" t="str">
        <f t="shared" si="7"/>
        <v>(    )</v>
      </c>
      <c r="G27" s="193">
        <f t="shared" si="3"/>
        <v>0</v>
      </c>
      <c r="H27" s="78">
        <f t="shared" si="4"/>
        <v>0</v>
      </c>
    </row>
    <row r="28" spans="1:8" ht="27.75" customHeight="1">
      <c r="A28" s="300" t="s">
        <v>291</v>
      </c>
      <c r="B28" s="40">
        <v>3137</v>
      </c>
      <c r="C28" s="336" t="s">
        <v>184</v>
      </c>
      <c r="D28" s="336" t="s">
        <v>184</v>
      </c>
      <c r="E28" s="336" t="s">
        <v>184</v>
      </c>
      <c r="F28" s="336" t="str">
        <f t="shared" si="7"/>
        <v>(    )</v>
      </c>
      <c r="G28" s="193">
        <f t="shared" si="3"/>
        <v>0</v>
      </c>
      <c r="H28" s="78">
        <f t="shared" si="4"/>
        <v>0</v>
      </c>
    </row>
    <row r="29" spans="1:8" ht="27.75" customHeight="1">
      <c r="A29" s="300" t="s">
        <v>361</v>
      </c>
      <c r="B29" s="40">
        <v>3138</v>
      </c>
      <c r="C29" s="336">
        <v>-4524</v>
      </c>
      <c r="D29" s="336">
        <v>-5512</v>
      </c>
      <c r="E29" s="336">
        <v>-6132</v>
      </c>
      <c r="F29" s="336">
        <f t="shared" si="7"/>
        <v>-5512</v>
      </c>
      <c r="G29" s="193">
        <f t="shared" si="3"/>
        <v>620</v>
      </c>
      <c r="H29" s="78">
        <f t="shared" si="4"/>
        <v>89.889106327462486</v>
      </c>
    </row>
    <row r="30" spans="1:8" ht="45" customHeight="1">
      <c r="A30" s="300" t="s">
        <v>396</v>
      </c>
      <c r="B30" s="40">
        <v>3139</v>
      </c>
      <c r="C30" s="336">
        <v>-63178</v>
      </c>
      <c r="D30" s="336">
        <v>-78074</v>
      </c>
      <c r="E30" s="336">
        <v>-89943</v>
      </c>
      <c r="F30" s="336">
        <f t="shared" si="7"/>
        <v>-78074</v>
      </c>
      <c r="G30" s="193">
        <f t="shared" si="3"/>
        <v>11869</v>
      </c>
      <c r="H30" s="78">
        <f t="shared" si="4"/>
        <v>86.803864669846448</v>
      </c>
    </row>
    <row r="31" spans="1:8" ht="27.75" customHeight="1">
      <c r="A31" s="300" t="s">
        <v>425</v>
      </c>
      <c r="B31" s="40">
        <v>3140</v>
      </c>
      <c r="C31" s="336">
        <v>-7</v>
      </c>
      <c r="D31" s="336">
        <f>-'Розшифровка до Руху'!F28</f>
        <v>-5</v>
      </c>
      <c r="E31" s="336">
        <f>-'Розшифровка до Руху'!E28</f>
        <v>-58</v>
      </c>
      <c r="F31" s="336">
        <f t="shared" si="7"/>
        <v>-5</v>
      </c>
      <c r="G31" s="193">
        <f t="shared" si="3"/>
        <v>53</v>
      </c>
      <c r="H31" s="78">
        <f t="shared" si="4"/>
        <v>8.6206896551724146</v>
      </c>
    </row>
    <row r="32" spans="1:8" ht="27.75" customHeight="1">
      <c r="A32" s="300" t="s">
        <v>789</v>
      </c>
      <c r="B32" s="40">
        <v>3150</v>
      </c>
      <c r="C32" s="336" t="s">
        <v>184</v>
      </c>
      <c r="D32" s="336">
        <v>-77</v>
      </c>
      <c r="E32" s="336" t="s">
        <v>184</v>
      </c>
      <c r="F32" s="336">
        <f t="shared" si="7"/>
        <v>-77</v>
      </c>
      <c r="G32" s="193">
        <f t="shared" si="3"/>
        <v>-77</v>
      </c>
      <c r="H32" s="78">
        <f t="shared" si="4"/>
        <v>0</v>
      </c>
    </row>
    <row r="33" spans="1:8" ht="27.75" customHeight="1">
      <c r="A33" s="300" t="s">
        <v>302</v>
      </c>
      <c r="B33" s="40">
        <v>3160</v>
      </c>
      <c r="C33" s="336">
        <f>-'Розшифровка до Руху'!D32</f>
        <v>-37307</v>
      </c>
      <c r="D33" s="336">
        <f>-'Розшифровка до Руху'!F32</f>
        <v>-40029</v>
      </c>
      <c r="E33" s="336">
        <f>-'Розшифровка до Руху'!E32</f>
        <v>-37243</v>
      </c>
      <c r="F33" s="336">
        <f>D33</f>
        <v>-40029</v>
      </c>
      <c r="G33" s="193">
        <f t="shared" si="3"/>
        <v>-2786</v>
      </c>
      <c r="H33" s="78">
        <f t="shared" si="4"/>
        <v>107.48060038127971</v>
      </c>
    </row>
    <row r="34" spans="1:8" s="117" customFormat="1" ht="30" customHeight="1">
      <c r="A34" s="49" t="s">
        <v>228</v>
      </c>
      <c r="B34" s="50">
        <v>3195</v>
      </c>
      <c r="C34" s="273">
        <f>ROUNDUP(SUM(C8,C18),0)</f>
        <v>28298</v>
      </c>
      <c r="D34" s="335">
        <f t="shared" ref="D34:F34" si="8">SUM(D8,D18)</f>
        <v>33584</v>
      </c>
      <c r="E34" s="335">
        <f>SUM(E8,E18)</f>
        <v>12025</v>
      </c>
      <c r="F34" s="335">
        <f t="shared" si="8"/>
        <v>33584</v>
      </c>
      <c r="G34" s="192">
        <f t="shared" si="3"/>
        <v>21559</v>
      </c>
      <c r="H34" s="74">
        <f t="shared" si="4"/>
        <v>279.28482328482329</v>
      </c>
    </row>
    <row r="35" spans="1:8" s="117" customFormat="1" ht="30" customHeight="1">
      <c r="A35" s="46" t="s">
        <v>232</v>
      </c>
      <c r="B35" s="50"/>
      <c r="C35" s="335"/>
      <c r="D35" s="335"/>
      <c r="E35" s="335"/>
      <c r="F35" s="335"/>
      <c r="G35" s="192"/>
      <c r="H35" s="74"/>
    </row>
    <row r="36" spans="1:8" s="117" customFormat="1" ht="30" customHeight="1">
      <c r="A36" s="49" t="s">
        <v>209</v>
      </c>
      <c r="B36" s="50">
        <v>3200</v>
      </c>
      <c r="C36" s="335">
        <f>SUM(C37:C40)</f>
        <v>0</v>
      </c>
      <c r="D36" s="335">
        <f>SUM(D37:D40)</f>
        <v>0</v>
      </c>
      <c r="E36" s="335">
        <f>SUM(E37:E40)</f>
        <v>0</v>
      </c>
      <c r="F36" s="335">
        <f>SUM(F37:F40)</f>
        <v>0</v>
      </c>
      <c r="G36" s="192">
        <f t="shared" si="3"/>
        <v>0</v>
      </c>
      <c r="H36" s="74">
        <f t="shared" si="4"/>
        <v>0</v>
      </c>
    </row>
    <row r="37" spans="1:8" ht="27.75" customHeight="1">
      <c r="A37" s="300" t="s">
        <v>224</v>
      </c>
      <c r="B37" s="40">
        <v>3210</v>
      </c>
      <c r="C37" s="336"/>
      <c r="D37" s="336"/>
      <c r="E37" s="336"/>
      <c r="F37" s="336"/>
      <c r="G37" s="193">
        <f t="shared" si="3"/>
        <v>0</v>
      </c>
      <c r="H37" s="78">
        <f t="shared" si="4"/>
        <v>0</v>
      </c>
    </row>
    <row r="38" spans="1:8" ht="27.75" customHeight="1">
      <c r="A38" s="300" t="s">
        <v>225</v>
      </c>
      <c r="B38" s="40">
        <v>3220</v>
      </c>
      <c r="C38" s="336"/>
      <c r="D38" s="336"/>
      <c r="E38" s="336"/>
      <c r="F38" s="336"/>
      <c r="G38" s="193">
        <f t="shared" si="3"/>
        <v>0</v>
      </c>
      <c r="H38" s="78">
        <f t="shared" si="4"/>
        <v>0</v>
      </c>
    </row>
    <row r="39" spans="1:8" ht="27.75" customHeight="1">
      <c r="A39" s="300" t="s">
        <v>48</v>
      </c>
      <c r="B39" s="40">
        <v>3230</v>
      </c>
      <c r="C39" s="336"/>
      <c r="D39" s="336"/>
      <c r="E39" s="336"/>
      <c r="F39" s="336"/>
      <c r="G39" s="193">
        <f t="shared" si="3"/>
        <v>0</v>
      </c>
      <c r="H39" s="78">
        <f t="shared" si="4"/>
        <v>0</v>
      </c>
    </row>
    <row r="40" spans="1:8" ht="27.75" customHeight="1">
      <c r="A40" s="300" t="s">
        <v>373</v>
      </c>
      <c r="B40" s="40">
        <v>3240</v>
      </c>
      <c r="C40" s="336">
        <f>-'Розшифровка до Руху'!D72</f>
        <v>0</v>
      </c>
      <c r="D40" s="336">
        <f>-'Розшифровка до Руху'!F72</f>
        <v>0</v>
      </c>
      <c r="E40" s="336">
        <f>-'Розшифровка до Руху'!E72</f>
        <v>0</v>
      </c>
      <c r="F40" s="336">
        <f>'Розшифровка до Руху'!F20</f>
        <v>0</v>
      </c>
      <c r="G40" s="193">
        <f t="shared" si="3"/>
        <v>0</v>
      </c>
      <c r="H40" s="78">
        <f t="shared" si="4"/>
        <v>0</v>
      </c>
    </row>
    <row r="41" spans="1:8" s="117" customFormat="1" ht="30" customHeight="1">
      <c r="A41" s="49" t="s">
        <v>216</v>
      </c>
      <c r="B41" s="50">
        <v>3255</v>
      </c>
      <c r="C41" s="335">
        <f>ROUNDUP(SUM(C42,C44,C51),0)</f>
        <v>-100117</v>
      </c>
      <c r="D41" s="335">
        <f t="shared" ref="D41:F41" si="9">SUM(D42,D44,D51)</f>
        <v>-207769</v>
      </c>
      <c r="E41" s="335">
        <f t="shared" si="9"/>
        <v>-194518</v>
      </c>
      <c r="F41" s="335">
        <f t="shared" si="9"/>
        <v>-207769</v>
      </c>
      <c r="G41" s="192">
        <f t="shared" si="3"/>
        <v>-13251</v>
      </c>
      <c r="H41" s="74">
        <f t="shared" si="4"/>
        <v>106.81222303334397</v>
      </c>
    </row>
    <row r="42" spans="1:8" s="117" customFormat="1" ht="30" customHeight="1">
      <c r="A42" s="44" t="s">
        <v>364</v>
      </c>
      <c r="B42" s="51">
        <v>3260</v>
      </c>
      <c r="C42" s="336">
        <f>SUM(C43:C43)</f>
        <v>0</v>
      </c>
      <c r="D42" s="336">
        <f t="shared" ref="D42:F42" si="10">SUM(D43:D43)</f>
        <v>0</v>
      </c>
      <c r="E42" s="336">
        <f t="shared" si="10"/>
        <v>0</v>
      </c>
      <c r="F42" s="336">
        <f t="shared" si="10"/>
        <v>0</v>
      </c>
      <c r="G42" s="193">
        <f t="shared" si="3"/>
        <v>0</v>
      </c>
      <c r="H42" s="78">
        <f t="shared" si="4"/>
        <v>0</v>
      </c>
    </row>
    <row r="43" spans="1:8" s="117" customFormat="1" ht="30" customHeight="1">
      <c r="A43" s="44" t="s">
        <v>365</v>
      </c>
      <c r="B43" s="51">
        <v>3261</v>
      </c>
      <c r="C43" s="336" t="s">
        <v>184</v>
      </c>
      <c r="D43" s="336" t="s">
        <v>184</v>
      </c>
      <c r="E43" s="336" t="s">
        <v>184</v>
      </c>
      <c r="F43" s="336" t="s">
        <v>184</v>
      </c>
      <c r="G43" s="193">
        <f t="shared" si="3"/>
        <v>0</v>
      </c>
      <c r="H43" s="78">
        <f t="shared" si="4"/>
        <v>0</v>
      </c>
    </row>
    <row r="44" spans="1:8" s="117" customFormat="1" ht="30" customHeight="1">
      <c r="A44" s="44" t="s">
        <v>366</v>
      </c>
      <c r="B44" s="51">
        <v>3270</v>
      </c>
      <c r="C44" s="336">
        <f>ROUNDUP(SUM(C45:C50),0)</f>
        <v>-100117</v>
      </c>
      <c r="D44" s="336">
        <f t="shared" ref="D44" si="11">SUM(D45:D50)</f>
        <v>-207769</v>
      </c>
      <c r="E44" s="336">
        <f>SUM(E45:E50)</f>
        <v>-194518</v>
      </c>
      <c r="F44" s="336">
        <f>D44</f>
        <v>-207769</v>
      </c>
      <c r="G44" s="193">
        <f t="shared" si="3"/>
        <v>-13251</v>
      </c>
      <c r="H44" s="78">
        <f t="shared" si="4"/>
        <v>106.81222303334397</v>
      </c>
    </row>
    <row r="45" spans="1:8" s="117" customFormat="1" ht="30" customHeight="1">
      <c r="A45" s="44" t="s">
        <v>374</v>
      </c>
      <c r="B45" s="51">
        <v>3271</v>
      </c>
      <c r="C45" s="336">
        <f>-'Розшифровка до Руху'!D75</f>
        <v>0</v>
      </c>
      <c r="D45" s="336">
        <f>-'Розшифровка до Руху'!F75</f>
        <v>-2781</v>
      </c>
      <c r="E45" s="336">
        <f>-'Розшифровка до Руху'!E75</f>
        <v>-2781</v>
      </c>
      <c r="F45" s="336">
        <f t="shared" ref="F45:F50" si="12">D45</f>
        <v>-2781</v>
      </c>
      <c r="G45" s="193">
        <f t="shared" si="3"/>
        <v>0</v>
      </c>
      <c r="H45" s="78">
        <f t="shared" si="4"/>
        <v>100</v>
      </c>
    </row>
    <row r="46" spans="1:8" ht="27.75" customHeight="1">
      <c r="A46" s="300" t="s">
        <v>403</v>
      </c>
      <c r="B46" s="40">
        <v>3272</v>
      </c>
      <c r="C46" s="336">
        <f>-'Розшифровка до Руху'!D77</f>
        <v>-24528</v>
      </c>
      <c r="D46" s="336">
        <f>-'Розшифровка до Руху'!F77</f>
        <v>-150548</v>
      </c>
      <c r="E46" s="336">
        <f>-'Розшифровка до Руху'!E77</f>
        <v>-136251</v>
      </c>
      <c r="F46" s="336">
        <f t="shared" si="12"/>
        <v>-150548</v>
      </c>
      <c r="G46" s="193">
        <f t="shared" si="3"/>
        <v>-14297</v>
      </c>
      <c r="H46" s="78">
        <f t="shared" si="4"/>
        <v>110.49313399534681</v>
      </c>
    </row>
    <row r="47" spans="1:8" ht="41.1" customHeight="1">
      <c r="A47" s="300" t="s">
        <v>28</v>
      </c>
      <c r="B47" s="40">
        <v>3273</v>
      </c>
      <c r="C47" s="336"/>
      <c r="D47" s="336"/>
      <c r="E47" s="336"/>
      <c r="F47" s="336">
        <f t="shared" si="12"/>
        <v>0</v>
      </c>
      <c r="G47" s="193">
        <f t="shared" si="3"/>
        <v>0</v>
      </c>
      <c r="H47" s="78">
        <f t="shared" si="4"/>
        <v>0</v>
      </c>
    </row>
    <row r="48" spans="1:8" ht="27.75" customHeight="1">
      <c r="A48" s="300" t="s">
        <v>375</v>
      </c>
      <c r="B48" s="40">
        <v>3274</v>
      </c>
      <c r="C48" s="336">
        <f>-'Розшифровка до Руху'!D97</f>
        <v>-5</v>
      </c>
      <c r="D48" s="336">
        <f>-'Розшифровка до Руху'!F97</f>
        <v>0</v>
      </c>
      <c r="E48" s="336">
        <f>-'Розшифровка до Руху'!E97</f>
        <v>-10</v>
      </c>
      <c r="F48" s="336">
        <f t="shared" si="12"/>
        <v>0</v>
      </c>
      <c r="G48" s="193">
        <f t="shared" si="3"/>
        <v>10</v>
      </c>
      <c r="H48" s="78">
        <f t="shared" si="4"/>
        <v>0</v>
      </c>
    </row>
    <row r="49" spans="1:8" ht="42.75" customHeight="1">
      <c r="A49" s="300" t="s">
        <v>367</v>
      </c>
      <c r="B49" s="40">
        <v>3275</v>
      </c>
      <c r="C49" s="336">
        <f>-'Розшифровка до Руху'!D99</f>
        <v>-75584</v>
      </c>
      <c r="D49" s="336">
        <f>-'Розшифровка до Руху'!F99</f>
        <v>-7867</v>
      </c>
      <c r="E49" s="336">
        <f>-'Розшифровка до Руху'!E99</f>
        <v>-6820</v>
      </c>
      <c r="F49" s="336">
        <f t="shared" si="12"/>
        <v>-7867</v>
      </c>
      <c r="G49" s="193">
        <f t="shared" si="3"/>
        <v>-1047</v>
      </c>
      <c r="H49" s="78">
        <f t="shared" si="4"/>
        <v>115.35190615835778</v>
      </c>
    </row>
    <row r="50" spans="1:8" ht="27.75" customHeight="1">
      <c r="A50" s="300" t="s">
        <v>368</v>
      </c>
      <c r="B50" s="40">
        <v>3276</v>
      </c>
      <c r="C50" s="336">
        <f>-'Розшифровка до Руху'!D106</f>
        <v>0</v>
      </c>
      <c r="D50" s="336">
        <f>-'Розшифровка до Руху'!F106</f>
        <v>-46573</v>
      </c>
      <c r="E50" s="336">
        <f>-'Розшифровка до Руху'!E106</f>
        <v>-48656</v>
      </c>
      <c r="F50" s="336">
        <f t="shared" si="12"/>
        <v>-46573</v>
      </c>
      <c r="G50" s="193">
        <f t="shared" si="3"/>
        <v>2083</v>
      </c>
      <c r="H50" s="78">
        <f t="shared" si="4"/>
        <v>95.718924695823731</v>
      </c>
    </row>
    <row r="51" spans="1:8" ht="27.75" customHeight="1">
      <c r="A51" s="300" t="s">
        <v>302</v>
      </c>
      <c r="B51" s="40">
        <v>3280</v>
      </c>
      <c r="C51" s="336"/>
      <c r="D51" s="336"/>
      <c r="E51" s="336"/>
      <c r="F51" s="336"/>
      <c r="G51" s="193">
        <f t="shared" si="3"/>
        <v>0</v>
      </c>
      <c r="H51" s="78">
        <f t="shared" si="4"/>
        <v>0</v>
      </c>
    </row>
    <row r="52" spans="1:8" s="117" customFormat="1" ht="30" customHeight="1">
      <c r="A52" s="49" t="s">
        <v>104</v>
      </c>
      <c r="B52" s="50">
        <v>3295</v>
      </c>
      <c r="C52" s="335">
        <f>SUM(C36,C41)</f>
        <v>-100117</v>
      </c>
      <c r="D52" s="335">
        <f t="shared" ref="D52:F52" si="13">SUM(D36,D41)</f>
        <v>-207769</v>
      </c>
      <c r="E52" s="335">
        <f t="shared" si="13"/>
        <v>-194518</v>
      </c>
      <c r="F52" s="335">
        <f t="shared" si="13"/>
        <v>-207769</v>
      </c>
      <c r="G52" s="192">
        <f t="shared" si="3"/>
        <v>-13251</v>
      </c>
      <c r="H52" s="74">
        <f t="shared" si="4"/>
        <v>106.81222303334397</v>
      </c>
    </row>
    <row r="53" spans="1:8" s="117" customFormat="1" ht="30" customHeight="1">
      <c r="A53" s="46" t="s">
        <v>233</v>
      </c>
      <c r="B53" s="50"/>
      <c r="C53" s="336"/>
      <c r="D53" s="336"/>
      <c r="E53" s="336"/>
      <c r="F53" s="336"/>
      <c r="G53" s="192"/>
      <c r="H53" s="74"/>
    </row>
    <row r="54" spans="1:8" s="117" customFormat="1" ht="30" customHeight="1">
      <c r="A54" s="49" t="s">
        <v>210</v>
      </c>
      <c r="B54" s="50">
        <v>3300</v>
      </c>
      <c r="C54" s="335">
        <f>SUM(C55:C57)</f>
        <v>192115</v>
      </c>
      <c r="D54" s="335">
        <f t="shared" ref="D54:F54" si="14">SUM(D55:D57)</f>
        <v>274577</v>
      </c>
      <c r="E54" s="335">
        <f t="shared" si="14"/>
        <v>186055</v>
      </c>
      <c r="F54" s="335">
        <f t="shared" si="14"/>
        <v>184555</v>
      </c>
      <c r="G54" s="192">
        <f t="shared" si="3"/>
        <v>-1500</v>
      </c>
      <c r="H54" s="74">
        <f t="shared" si="4"/>
        <v>99.193786783478004</v>
      </c>
    </row>
    <row r="55" spans="1:8" ht="27.75" customHeight="1">
      <c r="A55" s="300" t="s">
        <v>226</v>
      </c>
      <c r="B55" s="40">
        <v>3310</v>
      </c>
      <c r="C55" s="336">
        <f>'VII Статутн. капіт'!C9</f>
        <v>189997</v>
      </c>
      <c r="D55" s="368">
        <v>274577</v>
      </c>
      <c r="E55" s="336">
        <f>'Розшифровка до Статутного'!D6</f>
        <v>184555</v>
      </c>
      <c r="F55" s="336">
        <f>'VII Статутн. капіт'!F9</f>
        <v>184555</v>
      </c>
      <c r="G55" s="193">
        <f t="shared" si="3"/>
        <v>0</v>
      </c>
      <c r="H55" s="78">
        <f t="shared" si="4"/>
        <v>100</v>
      </c>
    </row>
    <row r="56" spans="1:8" ht="27.75" customHeight="1">
      <c r="A56" s="300" t="s">
        <v>369</v>
      </c>
      <c r="B56" s="40">
        <v>3320</v>
      </c>
      <c r="C56" s="336">
        <v>1383</v>
      </c>
      <c r="D56" s="336"/>
      <c r="E56" s="336"/>
      <c r="F56" s="336">
        <f>D56</f>
        <v>0</v>
      </c>
      <c r="G56" s="193">
        <f t="shared" si="3"/>
        <v>0</v>
      </c>
      <c r="H56" s="78">
        <f t="shared" si="4"/>
        <v>0</v>
      </c>
    </row>
    <row r="57" spans="1:8" ht="27.75" customHeight="1">
      <c r="A57" s="300" t="s">
        <v>373</v>
      </c>
      <c r="B57" s="40">
        <v>3330</v>
      </c>
      <c r="C57" s="336">
        <f>'Розшифровка до Руху'!D115</f>
        <v>735</v>
      </c>
      <c r="D57" s="336">
        <f>'Розшифровка до Руху'!F115</f>
        <v>0</v>
      </c>
      <c r="E57" s="336">
        <f>'Розшифровка до Руху'!E115</f>
        <v>1500</v>
      </c>
      <c r="F57" s="336">
        <f>D57</f>
        <v>0</v>
      </c>
      <c r="G57" s="193">
        <f t="shared" si="3"/>
        <v>-1500</v>
      </c>
      <c r="H57" s="78">
        <f t="shared" si="4"/>
        <v>0</v>
      </c>
    </row>
    <row r="58" spans="1:8" s="117" customFormat="1" ht="30" customHeight="1">
      <c r="A58" s="49" t="s">
        <v>217</v>
      </c>
      <c r="B58" s="50">
        <v>3345</v>
      </c>
      <c r="C58" s="335">
        <f>SUM(C59:C63)</f>
        <v>-88864</v>
      </c>
      <c r="D58" s="335">
        <f>SUM(D59:D63)</f>
        <v>-93676</v>
      </c>
      <c r="E58" s="335">
        <f>SUM(E59:E63)</f>
        <v>-3563</v>
      </c>
      <c r="F58" s="335">
        <f>SUM(F59:F63)</f>
        <v>-93676</v>
      </c>
      <c r="G58" s="192">
        <f t="shared" si="3"/>
        <v>-90113</v>
      </c>
      <c r="H58" s="74">
        <f t="shared" si="4"/>
        <v>2629.132753297783</v>
      </c>
    </row>
    <row r="59" spans="1:8" ht="27.75" customHeight="1">
      <c r="A59" s="300" t="s">
        <v>227</v>
      </c>
      <c r="B59" s="40">
        <v>3350</v>
      </c>
      <c r="C59" s="336" t="s">
        <v>184</v>
      </c>
      <c r="D59" s="336" t="s">
        <v>184</v>
      </c>
      <c r="E59" s="336" t="s">
        <v>184</v>
      </c>
      <c r="F59" s="336" t="s">
        <v>184</v>
      </c>
      <c r="G59" s="193">
        <f t="shared" si="3"/>
        <v>0</v>
      </c>
      <c r="H59" s="78">
        <f t="shared" si="4"/>
        <v>0</v>
      </c>
    </row>
    <row r="60" spans="1:8" ht="27.75" customHeight="1">
      <c r="A60" s="300" t="s">
        <v>370</v>
      </c>
      <c r="B60" s="40">
        <v>3360</v>
      </c>
      <c r="C60" s="336">
        <v>-81754</v>
      </c>
      <c r="D60" s="336">
        <v>-3427</v>
      </c>
      <c r="E60" s="336">
        <v>-3446</v>
      </c>
      <c r="F60" s="336">
        <f>D60</f>
        <v>-3427</v>
      </c>
      <c r="G60" s="193">
        <f t="shared" si="3"/>
        <v>19</v>
      </c>
      <c r="H60" s="78">
        <f t="shared" si="4"/>
        <v>99.448636099825876</v>
      </c>
    </row>
    <row r="61" spans="1:8" ht="27.75" customHeight="1">
      <c r="A61" s="300" t="s">
        <v>371</v>
      </c>
      <c r="B61" s="40">
        <v>3370</v>
      </c>
      <c r="C61" s="336" t="s">
        <v>184</v>
      </c>
      <c r="D61" s="336" t="s">
        <v>184</v>
      </c>
      <c r="E61" s="336" t="s">
        <v>184</v>
      </c>
      <c r="F61" s="336" t="str">
        <f t="shared" ref="F61:F63" si="15">D61</f>
        <v>(    )</v>
      </c>
      <c r="G61" s="193">
        <f t="shared" si="3"/>
        <v>0</v>
      </c>
      <c r="H61" s="78">
        <f t="shared" si="4"/>
        <v>0</v>
      </c>
    </row>
    <row r="62" spans="1:8" ht="48" customHeight="1">
      <c r="A62" s="300" t="s">
        <v>372</v>
      </c>
      <c r="B62" s="40">
        <v>3380</v>
      </c>
      <c r="C62" s="336" t="s">
        <v>184</v>
      </c>
      <c r="D62" s="336" t="s">
        <v>184</v>
      </c>
      <c r="E62" s="336" t="s">
        <v>184</v>
      </c>
      <c r="F62" s="336" t="str">
        <f t="shared" si="15"/>
        <v>(    )</v>
      </c>
      <c r="G62" s="193">
        <f t="shared" si="3"/>
        <v>0</v>
      </c>
      <c r="H62" s="78">
        <f t="shared" si="4"/>
        <v>0</v>
      </c>
    </row>
    <row r="63" spans="1:8" ht="31.5" customHeight="1">
      <c r="A63" s="300" t="s">
        <v>419</v>
      </c>
      <c r="B63" s="40">
        <v>3390</v>
      </c>
      <c r="C63" s="336">
        <f>-'Розшифровка до Руху'!D118</f>
        <v>-7110</v>
      </c>
      <c r="D63" s="368">
        <f>-'Розшифровка до Руху'!F118</f>
        <v>-90249</v>
      </c>
      <c r="E63" s="336">
        <f>-'Розшифровка до Руху'!E118</f>
        <v>-117</v>
      </c>
      <c r="F63" s="336">
        <f t="shared" si="15"/>
        <v>-90249</v>
      </c>
      <c r="G63" s="193">
        <f t="shared" si="3"/>
        <v>-90132</v>
      </c>
      <c r="H63" s="78">
        <f t="shared" si="4"/>
        <v>77135.897435897437</v>
      </c>
    </row>
    <row r="64" spans="1:8" s="117" customFormat="1" ht="30" customHeight="1">
      <c r="A64" s="49" t="s">
        <v>105</v>
      </c>
      <c r="B64" s="50">
        <v>3395</v>
      </c>
      <c r="C64" s="335">
        <f>SUM(C54,C58)</f>
        <v>103251</v>
      </c>
      <c r="D64" s="335">
        <f>SUM(D54,D58)</f>
        <v>180901</v>
      </c>
      <c r="E64" s="335">
        <f>SUM(E54,E58)</f>
        <v>182492</v>
      </c>
      <c r="F64" s="335">
        <f>SUM(F54,F58)</f>
        <v>90879</v>
      </c>
      <c r="G64" s="192">
        <f t="shared" si="3"/>
        <v>-91613</v>
      </c>
      <c r="H64" s="74">
        <f t="shared" si="4"/>
        <v>49.798895294040285</v>
      </c>
    </row>
    <row r="65" spans="1:12" s="117" customFormat="1" ht="30" customHeight="1">
      <c r="A65" s="49" t="s">
        <v>29</v>
      </c>
      <c r="B65" s="50">
        <v>3400</v>
      </c>
      <c r="C65" s="335">
        <f>SUM(C34,C52,C64)</f>
        <v>31432</v>
      </c>
      <c r="D65" s="335">
        <f>SUM(D34,D52,D64)</f>
        <v>6716</v>
      </c>
      <c r="E65" s="335">
        <f>SUM(E34,E52,E64)</f>
        <v>-1</v>
      </c>
      <c r="F65" s="335">
        <f>SUM(F34,F52,F64)</f>
        <v>-83306</v>
      </c>
      <c r="G65" s="192">
        <f t="shared" si="3"/>
        <v>-83305</v>
      </c>
      <c r="H65" s="74"/>
    </row>
    <row r="66" spans="1:12" ht="27.75" customHeight="1">
      <c r="A66" s="300" t="s">
        <v>234</v>
      </c>
      <c r="B66" s="40">
        <v>3405</v>
      </c>
      <c r="C66" s="336">
        <v>4839</v>
      </c>
      <c r="D66" s="336">
        <f>C68</f>
        <v>36271</v>
      </c>
      <c r="E66" s="336">
        <v>2639</v>
      </c>
      <c r="F66" s="336">
        <f>C68</f>
        <v>36271</v>
      </c>
      <c r="G66" s="193">
        <f t="shared" si="3"/>
        <v>33632</v>
      </c>
      <c r="H66" s="78">
        <f t="shared" si="4"/>
        <v>1374.4221295945433</v>
      </c>
    </row>
    <row r="67" spans="1:12" ht="27.75" customHeight="1">
      <c r="A67" s="300" t="s">
        <v>107</v>
      </c>
      <c r="B67" s="40">
        <v>3410</v>
      </c>
      <c r="C67" s="336"/>
      <c r="D67" s="336"/>
      <c r="E67" s="336"/>
      <c r="F67" s="336"/>
      <c r="G67" s="193">
        <f t="shared" ref="G67" si="16">IF(F67="(    )",0,F67)-IF(E67="(    )",0,E67)</f>
        <v>0</v>
      </c>
      <c r="H67" s="78">
        <f t="shared" ref="H67" si="17">IF(IF(E67="(    )",0,E67)=0,0,IF(F67="(    )",0,F67)/IF(E67="(    )",0,E67))*100</f>
        <v>0</v>
      </c>
    </row>
    <row r="68" spans="1:12" ht="31.5" customHeight="1">
      <c r="A68" s="300" t="s">
        <v>235</v>
      </c>
      <c r="B68" s="40">
        <v>3415</v>
      </c>
      <c r="C68" s="336">
        <f>SUM(C65:C67)</f>
        <v>36271</v>
      </c>
      <c r="D68" s="336">
        <f>SUM(D65:D67)</f>
        <v>42987</v>
      </c>
      <c r="E68" s="336">
        <f>ROUNDUP(SUM(E65:E67),0)</f>
        <v>2638</v>
      </c>
      <c r="F68" s="336">
        <f t="shared" ref="F68" si="18">SUM(F65:F67)</f>
        <v>-47035</v>
      </c>
      <c r="G68" s="193">
        <f t="shared" si="3"/>
        <v>-49673</v>
      </c>
      <c r="H68" s="78">
        <f>IF(IF(E68="(    )",0,E68)=0,0,IF(F68="(    )",0,F68)/IF(E68="(    )",0,E68))*100</f>
        <v>-1782.9795299469297</v>
      </c>
    </row>
    <row r="69" spans="1:12" s="20" customFormat="1" ht="82.2" customHeight="1">
      <c r="A69" s="52"/>
      <c r="B69" s="53"/>
      <c r="C69" s="53"/>
      <c r="D69" s="53"/>
      <c r="E69" s="53"/>
      <c r="F69" s="53"/>
      <c r="G69" s="53"/>
      <c r="H69" s="53"/>
    </row>
    <row r="70" spans="1:12" s="52" customFormat="1" ht="18" customHeight="1">
      <c r="A70" s="405" t="s">
        <v>523</v>
      </c>
      <c r="B70" s="405"/>
      <c r="C70" s="282"/>
      <c r="D70" s="406" t="s">
        <v>80</v>
      </c>
      <c r="E70" s="406"/>
      <c r="F70" s="171"/>
      <c r="G70" s="299" t="s">
        <v>524</v>
      </c>
      <c r="H70" s="309"/>
      <c r="I70" s="299"/>
    </row>
    <row r="71" spans="1:12" s="106" customFormat="1">
      <c r="A71" s="281"/>
      <c r="C71" s="395"/>
      <c r="D71" s="395"/>
      <c r="F71" s="281"/>
      <c r="G71" s="281"/>
      <c r="H71" s="281"/>
    </row>
    <row r="77" spans="1:12">
      <c r="L77" s="305" t="s">
        <v>358</v>
      </c>
    </row>
  </sheetData>
  <mergeCells count="8">
    <mergeCell ref="C71:D71"/>
    <mergeCell ref="A2:H2"/>
    <mergeCell ref="A4:A5"/>
    <mergeCell ref="B4:B5"/>
    <mergeCell ref="C4:D4"/>
    <mergeCell ref="E4:H4"/>
    <mergeCell ref="A70:B70"/>
    <mergeCell ref="D70:E70"/>
  </mergeCells>
  <phoneticPr fontId="3" type="noConversion"/>
  <printOptions horizontalCentered="1"/>
  <pageMargins left="0.59055118110236215" right="0.59055118110236215" top="0.98425196850393704" bottom="0.59055118110236215" header="0" footer="0"/>
  <pageSetup paperSize="9" scale="61" fitToHeight="0" orientation="landscape" blackAndWhite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  <pageSetUpPr fitToPage="1"/>
  </sheetPr>
  <dimension ref="A2:H243"/>
  <sheetViews>
    <sheetView topLeftCell="A115" zoomScale="70" zoomScaleNormal="70" workbookViewId="0">
      <selection activeCell="G135" sqref="G134:G135"/>
    </sheetView>
  </sheetViews>
  <sheetFormatPr defaultColWidth="9.109375" defaultRowHeight="18"/>
  <cols>
    <col min="1" max="1" width="9.109375" style="305"/>
    <col min="2" max="2" width="63.33203125" style="305" customWidth="1"/>
    <col min="3" max="3" width="12" style="306" customWidth="1"/>
    <col min="4" max="4" width="15.33203125" style="239" customWidth="1"/>
    <col min="5" max="5" width="16.109375" style="239" customWidth="1"/>
    <col min="6" max="6" width="16.6640625" style="306" customWidth="1"/>
    <col min="7" max="8" width="14" style="306" customWidth="1"/>
    <col min="9" max="16384" width="9.109375" style="305"/>
  </cols>
  <sheetData>
    <row r="2" spans="1:8">
      <c r="B2" s="413" t="s">
        <v>398</v>
      </c>
      <c r="C2" s="413"/>
      <c r="D2" s="413"/>
      <c r="E2" s="413"/>
      <c r="F2" s="413"/>
      <c r="G2" s="413"/>
      <c r="H2" s="413"/>
    </row>
    <row r="3" spans="1:8">
      <c r="B3" s="286"/>
      <c r="C3" s="90"/>
      <c r="D3" s="98"/>
      <c r="E3" s="27"/>
      <c r="F3" s="286"/>
      <c r="G3" s="286"/>
      <c r="H3" s="118" t="s">
        <v>423</v>
      </c>
    </row>
    <row r="4" spans="1:8" ht="61.5" customHeight="1">
      <c r="A4" s="450" t="s">
        <v>152</v>
      </c>
      <c r="B4" s="450"/>
      <c r="C4" s="91" t="s">
        <v>18</v>
      </c>
      <c r="D4" s="337" t="s">
        <v>706</v>
      </c>
      <c r="E4" s="337" t="s">
        <v>707</v>
      </c>
      <c r="F4" s="91" t="s">
        <v>708</v>
      </c>
      <c r="G4" s="91" t="s">
        <v>410</v>
      </c>
      <c r="H4" s="92" t="s">
        <v>421</v>
      </c>
    </row>
    <row r="5" spans="1:8" ht="20.25" customHeight="1">
      <c r="A5" s="418">
        <v>1</v>
      </c>
      <c r="B5" s="418"/>
      <c r="C5" s="304">
        <v>2</v>
      </c>
      <c r="D5" s="202">
        <v>3</v>
      </c>
      <c r="E5" s="202">
        <v>4</v>
      </c>
      <c r="F5" s="304">
        <v>5</v>
      </c>
      <c r="G5" s="304">
        <v>6</v>
      </c>
      <c r="H5" s="304">
        <v>7</v>
      </c>
    </row>
    <row r="6" spans="1:8" s="183" customFormat="1" ht="22.2" customHeight="1">
      <c r="A6" s="445" t="s">
        <v>231</v>
      </c>
      <c r="B6" s="445"/>
      <c r="C6" s="304"/>
      <c r="D6" s="161"/>
      <c r="E6" s="161"/>
      <c r="F6" s="202"/>
      <c r="G6" s="161"/>
      <c r="H6" s="161"/>
    </row>
    <row r="7" spans="1:8" s="52" customFormat="1" ht="37.5" customHeight="1">
      <c r="A7" s="446" t="s">
        <v>387</v>
      </c>
      <c r="B7" s="446"/>
      <c r="C7" s="294"/>
      <c r="D7" s="184"/>
      <c r="E7" s="184"/>
      <c r="F7" s="203"/>
      <c r="G7" s="184"/>
      <c r="H7" s="161"/>
    </row>
    <row r="8" spans="1:8" s="52" customFormat="1" ht="24.6" customHeight="1">
      <c r="A8" s="447" t="s">
        <v>426</v>
      </c>
      <c r="B8" s="448"/>
      <c r="C8" s="295">
        <v>3030</v>
      </c>
      <c r="D8" s="204">
        <f>SUM(D9:D20)</f>
        <v>572386</v>
      </c>
      <c r="E8" s="204">
        <f>SUM(E9:E20)</f>
        <v>888095</v>
      </c>
      <c r="F8" s="204">
        <f>SUM(F9:F20)</f>
        <v>456878</v>
      </c>
      <c r="G8" s="204">
        <f>F8-E8</f>
        <v>-431217</v>
      </c>
      <c r="H8" s="158">
        <f>(F8/E8)*100</f>
        <v>51.444721566949482</v>
      </c>
    </row>
    <row r="9" spans="1:8" s="52" customFormat="1" ht="57" customHeight="1">
      <c r="A9" s="159">
        <v>1</v>
      </c>
      <c r="B9" s="167" t="s">
        <v>489</v>
      </c>
      <c r="C9" s="304"/>
      <c r="D9" s="229"/>
      <c r="E9" s="256">
        <v>342772</v>
      </c>
      <c r="F9" s="230"/>
      <c r="G9" s="202">
        <f t="shared" ref="G9:G21" si="0">F9-E9</f>
        <v>-342772</v>
      </c>
      <c r="H9" s="161">
        <f t="shared" ref="H9:H21" si="1">(F9/E9)*100</f>
        <v>0</v>
      </c>
    </row>
    <row r="10" spans="1:8" s="52" customFormat="1" ht="78.75" customHeight="1">
      <c r="A10" s="159">
        <v>2</v>
      </c>
      <c r="B10" s="167" t="s">
        <v>490</v>
      </c>
      <c r="C10" s="304"/>
      <c r="D10" s="229"/>
      <c r="E10" s="256">
        <v>88445</v>
      </c>
      <c r="F10" s="230"/>
      <c r="G10" s="202">
        <f t="shared" si="0"/>
        <v>-88445</v>
      </c>
      <c r="H10" s="161">
        <f t="shared" si="1"/>
        <v>0</v>
      </c>
    </row>
    <row r="11" spans="1:8" s="52" customFormat="1" ht="26.25" customHeight="1">
      <c r="A11" s="168">
        <v>3</v>
      </c>
      <c r="B11" s="160" t="s">
        <v>491</v>
      </c>
      <c r="C11" s="304"/>
      <c r="D11" s="229"/>
      <c r="E11" s="256"/>
      <c r="F11" s="202"/>
      <c r="G11" s="202">
        <f t="shared" si="0"/>
        <v>0</v>
      </c>
      <c r="H11" s="161"/>
    </row>
    <row r="12" spans="1:8" s="52" customFormat="1" ht="27" customHeight="1">
      <c r="A12" s="168" t="s">
        <v>544</v>
      </c>
      <c r="B12" s="163" t="s">
        <v>493</v>
      </c>
      <c r="C12" s="304"/>
      <c r="D12" s="229">
        <v>2531</v>
      </c>
      <c r="E12" s="256">
        <v>4121</v>
      </c>
      <c r="F12" s="229">
        <v>4121</v>
      </c>
      <c r="G12" s="202">
        <f t="shared" si="0"/>
        <v>0</v>
      </c>
      <c r="H12" s="161">
        <f t="shared" si="1"/>
        <v>100</v>
      </c>
    </row>
    <row r="13" spans="1:8" s="52" customFormat="1" ht="25.2" customHeight="1">
      <c r="A13" s="168" t="s">
        <v>545</v>
      </c>
      <c r="B13" s="163" t="s">
        <v>546</v>
      </c>
      <c r="C13" s="304"/>
      <c r="D13" s="229">
        <v>606</v>
      </c>
      <c r="E13" s="256">
        <v>1200</v>
      </c>
      <c r="F13" s="229">
        <v>1200</v>
      </c>
      <c r="G13" s="202">
        <f t="shared" si="0"/>
        <v>0</v>
      </c>
      <c r="H13" s="161">
        <f t="shared" si="1"/>
        <v>100</v>
      </c>
    </row>
    <row r="14" spans="1:8" s="52" customFormat="1" ht="37.200000000000003" customHeight="1">
      <c r="A14" s="168" t="s">
        <v>547</v>
      </c>
      <c r="B14" s="163" t="s">
        <v>548</v>
      </c>
      <c r="C14" s="304"/>
      <c r="D14" s="229">
        <v>242</v>
      </c>
      <c r="E14" s="256">
        <v>267</v>
      </c>
      <c r="F14" s="229">
        <v>267</v>
      </c>
      <c r="G14" s="202">
        <f t="shared" si="0"/>
        <v>0</v>
      </c>
      <c r="H14" s="161">
        <f t="shared" si="1"/>
        <v>100</v>
      </c>
    </row>
    <row r="15" spans="1:8" s="52" customFormat="1" ht="38.4" customHeight="1">
      <c r="A15" s="168" t="s">
        <v>549</v>
      </c>
      <c r="B15" s="163" t="s">
        <v>499</v>
      </c>
      <c r="C15" s="304"/>
      <c r="D15" s="229">
        <v>355064</v>
      </c>
      <c r="E15" s="256">
        <v>208118</v>
      </c>
      <c r="F15" s="229">
        <v>208118</v>
      </c>
      <c r="G15" s="202">
        <f t="shared" si="0"/>
        <v>0</v>
      </c>
      <c r="H15" s="161">
        <f t="shared" si="1"/>
        <v>100</v>
      </c>
    </row>
    <row r="16" spans="1:8" s="52" customFormat="1" ht="60" customHeight="1">
      <c r="A16" s="168" t="s">
        <v>550</v>
      </c>
      <c r="B16" s="163" t="s">
        <v>502</v>
      </c>
      <c r="C16" s="304"/>
      <c r="D16" s="229">
        <v>77418</v>
      </c>
      <c r="E16" s="256">
        <v>82031</v>
      </c>
      <c r="F16" s="229">
        <v>82031</v>
      </c>
      <c r="G16" s="202">
        <f t="shared" si="0"/>
        <v>0</v>
      </c>
      <c r="H16" s="161">
        <f t="shared" si="1"/>
        <v>100</v>
      </c>
    </row>
    <row r="17" spans="1:8" s="52" customFormat="1" ht="61.5" customHeight="1">
      <c r="A17" s="168" t="s">
        <v>551</v>
      </c>
      <c r="B17" s="185" t="s">
        <v>553</v>
      </c>
      <c r="C17" s="304"/>
      <c r="D17" s="229">
        <v>97078</v>
      </c>
      <c r="E17" s="256">
        <v>105079</v>
      </c>
      <c r="F17" s="229">
        <v>105079</v>
      </c>
      <c r="G17" s="202">
        <f t="shared" si="0"/>
        <v>0</v>
      </c>
      <c r="H17" s="161">
        <f t="shared" si="1"/>
        <v>100</v>
      </c>
    </row>
    <row r="18" spans="1:8" s="52" customFormat="1" ht="58.2" customHeight="1">
      <c r="A18" s="168" t="s">
        <v>552</v>
      </c>
      <c r="B18" s="185" t="s">
        <v>554</v>
      </c>
      <c r="C18" s="304"/>
      <c r="D18" s="229">
        <v>39447</v>
      </c>
      <c r="E18" s="256">
        <v>56062</v>
      </c>
      <c r="F18" s="229">
        <v>56062</v>
      </c>
      <c r="G18" s="202">
        <f t="shared" si="0"/>
        <v>0</v>
      </c>
      <c r="H18" s="161">
        <f t="shared" si="1"/>
        <v>100</v>
      </c>
    </row>
    <row r="19" spans="1:8" s="52" customFormat="1" ht="24.6" hidden="1" customHeight="1">
      <c r="A19" s="159">
        <v>4</v>
      </c>
      <c r="B19" s="163" t="s">
        <v>507</v>
      </c>
      <c r="C19" s="304"/>
      <c r="D19" s="229"/>
      <c r="E19" s="256"/>
      <c r="F19" s="231"/>
      <c r="G19" s="202">
        <f t="shared" si="0"/>
        <v>0</v>
      </c>
      <c r="H19" s="161"/>
    </row>
    <row r="20" spans="1:8" s="52" customFormat="1" ht="42" hidden="1" customHeight="1">
      <c r="A20" s="159">
        <v>5</v>
      </c>
      <c r="B20" s="163" t="s">
        <v>555</v>
      </c>
      <c r="C20" s="304"/>
      <c r="D20" s="229"/>
      <c r="E20" s="256"/>
      <c r="F20" s="202"/>
      <c r="G20" s="202">
        <f t="shared" si="0"/>
        <v>0</v>
      </c>
      <c r="H20" s="161"/>
    </row>
    <row r="21" spans="1:8" s="52" customFormat="1" ht="26.4" customHeight="1">
      <c r="A21" s="449" t="s">
        <v>388</v>
      </c>
      <c r="B21" s="449"/>
      <c r="C21" s="295">
        <v>3080</v>
      </c>
      <c r="D21" s="204">
        <f>SUM(D22:D24)</f>
        <v>7401</v>
      </c>
      <c r="E21" s="204">
        <f>SUM(E22:E23)</f>
        <v>6950</v>
      </c>
      <c r="F21" s="204">
        <f>SUM(F22:F26)</f>
        <v>12307</v>
      </c>
      <c r="G21" s="204">
        <f t="shared" si="0"/>
        <v>5357</v>
      </c>
      <c r="H21" s="158">
        <f t="shared" si="1"/>
        <v>177.07913669064749</v>
      </c>
    </row>
    <row r="22" spans="1:8" s="52" customFormat="1" ht="24.6" customHeight="1">
      <c r="A22" s="304">
        <v>1</v>
      </c>
      <c r="B22" s="163" t="s">
        <v>557</v>
      </c>
      <c r="C22" s="304"/>
      <c r="D22" s="202">
        <v>273</v>
      </c>
      <c r="E22" s="202">
        <v>250</v>
      </c>
      <c r="F22" s="202">
        <v>823</v>
      </c>
      <c r="G22" s="202">
        <f>F22-E22</f>
        <v>573</v>
      </c>
      <c r="H22" s="161">
        <f>(F22/E22)*100</f>
        <v>329.2</v>
      </c>
    </row>
    <row r="23" spans="1:8" s="52" customFormat="1" ht="37.799999999999997" customHeight="1">
      <c r="A23" s="304">
        <v>2</v>
      </c>
      <c r="B23" s="163" t="s">
        <v>556</v>
      </c>
      <c r="C23" s="304"/>
      <c r="D23" s="202">
        <v>7128</v>
      </c>
      <c r="E23" s="202">
        <v>6700</v>
      </c>
      <c r="F23" s="202">
        <v>6375</v>
      </c>
      <c r="G23" s="202">
        <f>F23-E23</f>
        <v>-325</v>
      </c>
      <c r="H23" s="161">
        <f>(F23/E23)*100</f>
        <v>95.149253731343293</v>
      </c>
    </row>
    <row r="24" spans="1:8" s="52" customFormat="1" ht="23.4" customHeight="1">
      <c r="A24" s="304">
        <v>3</v>
      </c>
      <c r="B24" s="163" t="s">
        <v>782</v>
      </c>
      <c r="C24" s="304"/>
      <c r="D24" s="202"/>
      <c r="E24" s="202"/>
      <c r="F24" s="202">
        <v>5000</v>
      </c>
      <c r="G24" s="202">
        <f>F24-E24</f>
        <v>5000</v>
      </c>
      <c r="H24" s="161"/>
    </row>
    <row r="25" spans="1:8" s="52" customFormat="1" ht="23.4" customHeight="1">
      <c r="A25" s="304">
        <v>4</v>
      </c>
      <c r="B25" s="163" t="s">
        <v>784</v>
      </c>
      <c r="C25" s="304"/>
      <c r="D25" s="202"/>
      <c r="E25" s="202"/>
      <c r="F25" s="202">
        <v>56</v>
      </c>
      <c r="G25" s="202">
        <f>F25-E25</f>
        <v>56</v>
      </c>
      <c r="H25" s="161"/>
    </row>
    <row r="26" spans="1:8" s="52" customFormat="1" ht="23.4" customHeight="1">
      <c r="A26" s="304">
        <v>5</v>
      </c>
      <c r="B26" s="163" t="s">
        <v>783</v>
      </c>
      <c r="C26" s="304"/>
      <c r="D26" s="202"/>
      <c r="E26" s="202"/>
      <c r="F26" s="202">
        <v>53</v>
      </c>
      <c r="G26" s="202">
        <f>F26-E26</f>
        <v>53</v>
      </c>
      <c r="H26" s="161"/>
    </row>
    <row r="27" spans="1:8" s="52" customFormat="1" ht="24" customHeight="1">
      <c r="A27" s="446" t="s">
        <v>215</v>
      </c>
      <c r="B27" s="446"/>
      <c r="C27" s="186"/>
      <c r="D27" s="232"/>
      <c r="E27" s="232"/>
      <c r="F27" s="232"/>
      <c r="G27" s="202">
        <f t="shared" ref="G27:G28" si="2">F27-E27</f>
        <v>0</v>
      </c>
      <c r="H27" s="161"/>
    </row>
    <row r="28" spans="1:8" s="52" customFormat="1" ht="30.6" customHeight="1">
      <c r="A28" s="447" t="s">
        <v>389</v>
      </c>
      <c r="B28" s="448"/>
      <c r="C28" s="124">
        <v>3140</v>
      </c>
      <c r="D28" s="204">
        <f t="shared" ref="D28:F28" si="3">SUM(D29:D31)</f>
        <v>7</v>
      </c>
      <c r="E28" s="204">
        <f t="shared" si="3"/>
        <v>58</v>
      </c>
      <c r="F28" s="204">
        <f t="shared" si="3"/>
        <v>5</v>
      </c>
      <c r="G28" s="204">
        <f t="shared" si="2"/>
        <v>-53</v>
      </c>
      <c r="H28" s="158">
        <f t="shared" ref="H28" si="4">(F28/E28)*100</f>
        <v>8.6206896551724146</v>
      </c>
    </row>
    <row r="29" spans="1:8" s="52" customFormat="1" ht="21" customHeight="1">
      <c r="A29" s="304">
        <v>1</v>
      </c>
      <c r="B29" s="163" t="s">
        <v>558</v>
      </c>
      <c r="C29" s="86"/>
      <c r="D29" s="202">
        <v>7</v>
      </c>
      <c r="E29" s="202">
        <v>8</v>
      </c>
      <c r="F29" s="229">
        <v>5</v>
      </c>
      <c r="G29" s="202">
        <f>F29-E29</f>
        <v>-3</v>
      </c>
      <c r="H29" s="161">
        <f>(F29/E29)*100</f>
        <v>62.5</v>
      </c>
    </row>
    <row r="30" spans="1:8" s="52" customFormat="1" ht="21" customHeight="1">
      <c r="A30" s="304">
        <v>2</v>
      </c>
      <c r="B30" s="163" t="s">
        <v>560</v>
      </c>
      <c r="C30" s="86"/>
      <c r="D30" s="202"/>
      <c r="E30" s="256">
        <v>1</v>
      </c>
      <c r="F30" s="229"/>
      <c r="G30" s="202">
        <f>F30-E30</f>
        <v>-1</v>
      </c>
      <c r="H30" s="161">
        <f>(F30/E30)*100</f>
        <v>0</v>
      </c>
    </row>
    <row r="31" spans="1:8" s="52" customFormat="1" ht="21" customHeight="1">
      <c r="A31" s="304">
        <v>3</v>
      </c>
      <c r="B31" s="163" t="s">
        <v>559</v>
      </c>
      <c r="C31" s="86"/>
      <c r="D31" s="202"/>
      <c r="E31" s="338">
        <v>49</v>
      </c>
      <c r="F31" s="231"/>
      <c r="G31" s="202">
        <f>F31-E31</f>
        <v>-49</v>
      </c>
      <c r="H31" s="161">
        <f>(F31/E31)*100</f>
        <v>0</v>
      </c>
    </row>
    <row r="32" spans="1:8" s="52" customFormat="1" ht="30" customHeight="1">
      <c r="A32" s="447" t="s">
        <v>205</v>
      </c>
      <c r="B32" s="448"/>
      <c r="C32" s="124">
        <v>3160</v>
      </c>
      <c r="D32" s="204">
        <f>SUM(D33:D69)</f>
        <v>37307</v>
      </c>
      <c r="E32" s="204">
        <f>SUM(E33:E68)</f>
        <v>37243</v>
      </c>
      <c r="F32" s="204">
        <f>SUM(F33:F69)</f>
        <v>40029</v>
      </c>
      <c r="G32" s="204">
        <f t="shared" ref="G32" si="5">F32-E32</f>
        <v>2786</v>
      </c>
      <c r="H32" s="158">
        <f t="shared" ref="H32" si="6">(F32/E32)*100</f>
        <v>107.48060038127971</v>
      </c>
    </row>
    <row r="33" spans="1:8" s="52" customFormat="1" ht="21" customHeight="1">
      <c r="A33" s="304">
        <v>1</v>
      </c>
      <c r="B33" s="163" t="s">
        <v>561</v>
      </c>
      <c r="C33" s="86"/>
      <c r="D33" s="202">
        <v>1315</v>
      </c>
      <c r="E33" s="202">
        <v>1800</v>
      </c>
      <c r="F33" s="202">
        <v>1913</v>
      </c>
      <c r="G33" s="202">
        <f t="shared" ref="G33" si="7">F33-E33</f>
        <v>113</v>
      </c>
      <c r="H33" s="161">
        <f t="shared" ref="H33" si="8">(F33/E33)*100</f>
        <v>106.27777777777779</v>
      </c>
    </row>
    <row r="34" spans="1:8" s="52" customFormat="1" ht="21" customHeight="1">
      <c r="A34" s="304">
        <v>2</v>
      </c>
      <c r="B34" s="163" t="s">
        <v>562</v>
      </c>
      <c r="C34" s="86"/>
      <c r="D34" s="202">
        <v>211</v>
      </c>
      <c r="E34" s="202">
        <v>151</v>
      </c>
      <c r="F34" s="202">
        <v>100</v>
      </c>
      <c r="G34" s="202">
        <f t="shared" ref="G34:G71" si="9">F34-E34</f>
        <v>-51</v>
      </c>
      <c r="H34" s="161">
        <f t="shared" ref="H34:H54" si="10">(F34/E34)*100</f>
        <v>66.225165562913915</v>
      </c>
    </row>
    <row r="35" spans="1:8" s="52" customFormat="1" ht="21" customHeight="1">
      <c r="A35" s="304">
        <v>3</v>
      </c>
      <c r="B35" s="163" t="s">
        <v>563</v>
      </c>
      <c r="C35" s="86"/>
      <c r="D35" s="202">
        <v>447</v>
      </c>
      <c r="E35" s="202">
        <v>550</v>
      </c>
      <c r="F35" s="202">
        <v>516</v>
      </c>
      <c r="G35" s="202">
        <f t="shared" si="9"/>
        <v>-34</v>
      </c>
      <c r="H35" s="161">
        <f t="shared" si="10"/>
        <v>93.818181818181827</v>
      </c>
    </row>
    <row r="36" spans="1:8" s="52" customFormat="1" ht="21" customHeight="1">
      <c r="A36" s="304">
        <v>4</v>
      </c>
      <c r="B36" s="163" t="s">
        <v>564</v>
      </c>
      <c r="C36" s="86"/>
      <c r="D36" s="202">
        <v>171</v>
      </c>
      <c r="E36" s="202">
        <v>220</v>
      </c>
      <c r="F36" s="202">
        <v>252</v>
      </c>
      <c r="G36" s="202">
        <f t="shared" si="9"/>
        <v>32</v>
      </c>
      <c r="H36" s="161">
        <f t="shared" si="10"/>
        <v>114.54545454545455</v>
      </c>
    </row>
    <row r="37" spans="1:8" s="52" customFormat="1" ht="61.95" customHeight="1">
      <c r="A37" s="304">
        <v>5</v>
      </c>
      <c r="B37" s="163" t="s">
        <v>565</v>
      </c>
      <c r="C37" s="86"/>
      <c r="D37" s="202">
        <v>2433</v>
      </c>
      <c r="E37" s="202">
        <v>2800</v>
      </c>
      <c r="F37" s="202">
        <v>3004</v>
      </c>
      <c r="G37" s="202">
        <f t="shared" si="9"/>
        <v>204</v>
      </c>
      <c r="H37" s="161">
        <f t="shared" si="10"/>
        <v>107.28571428571429</v>
      </c>
    </row>
    <row r="38" spans="1:8" s="52" customFormat="1" ht="19.5" customHeight="1">
      <c r="A38" s="304">
        <v>6</v>
      </c>
      <c r="B38" s="163" t="s">
        <v>566</v>
      </c>
      <c r="C38" s="86"/>
      <c r="D38" s="202">
        <v>225</v>
      </c>
      <c r="E38" s="202">
        <v>300</v>
      </c>
      <c r="F38" s="202">
        <v>85</v>
      </c>
      <c r="G38" s="202">
        <f t="shared" si="9"/>
        <v>-215</v>
      </c>
      <c r="H38" s="161">
        <f t="shared" si="10"/>
        <v>28.333333333333332</v>
      </c>
    </row>
    <row r="39" spans="1:8" s="52" customFormat="1" ht="19.5" customHeight="1">
      <c r="A39" s="304">
        <v>7</v>
      </c>
      <c r="B39" s="163" t="s">
        <v>567</v>
      </c>
      <c r="C39" s="86"/>
      <c r="D39" s="202">
        <v>1</v>
      </c>
      <c r="E39" s="202">
        <v>10</v>
      </c>
      <c r="F39" s="229">
        <v>1</v>
      </c>
      <c r="G39" s="202">
        <f t="shared" si="9"/>
        <v>-9</v>
      </c>
      <c r="H39" s="161">
        <f t="shared" si="10"/>
        <v>10</v>
      </c>
    </row>
    <row r="40" spans="1:8" s="52" customFormat="1" ht="19.5" customHeight="1">
      <c r="A40" s="304">
        <v>8</v>
      </c>
      <c r="B40" s="163" t="s">
        <v>568</v>
      </c>
      <c r="C40" s="86"/>
      <c r="D40" s="202">
        <v>470</v>
      </c>
      <c r="E40" s="202">
        <v>550</v>
      </c>
      <c r="F40" s="202">
        <v>286</v>
      </c>
      <c r="G40" s="202">
        <f t="shared" si="9"/>
        <v>-264</v>
      </c>
      <c r="H40" s="161">
        <f t="shared" si="10"/>
        <v>52</v>
      </c>
    </row>
    <row r="41" spans="1:8" s="52" customFormat="1" ht="19.5" customHeight="1">
      <c r="A41" s="304">
        <v>9</v>
      </c>
      <c r="B41" s="163" t="s">
        <v>569</v>
      </c>
      <c r="C41" s="86"/>
      <c r="D41" s="202">
        <v>131</v>
      </c>
      <c r="E41" s="202">
        <v>150</v>
      </c>
      <c r="F41" s="229">
        <v>56</v>
      </c>
      <c r="G41" s="202">
        <f t="shared" si="9"/>
        <v>-94</v>
      </c>
      <c r="H41" s="161">
        <f t="shared" si="10"/>
        <v>37.333333333333336</v>
      </c>
    </row>
    <row r="42" spans="1:8" s="52" customFormat="1" ht="37.5" customHeight="1">
      <c r="A42" s="304">
        <v>10</v>
      </c>
      <c r="B42" s="163" t="s">
        <v>570</v>
      </c>
      <c r="C42" s="86"/>
      <c r="D42" s="202">
        <v>62</v>
      </c>
      <c r="E42" s="202">
        <v>55</v>
      </c>
      <c r="F42" s="202">
        <v>98</v>
      </c>
      <c r="G42" s="202">
        <f t="shared" si="9"/>
        <v>43</v>
      </c>
      <c r="H42" s="161">
        <f t="shared" si="10"/>
        <v>178.18181818181819</v>
      </c>
    </row>
    <row r="43" spans="1:8" s="52" customFormat="1" ht="42" customHeight="1">
      <c r="A43" s="304">
        <v>11</v>
      </c>
      <c r="B43" s="163" t="s">
        <v>571</v>
      </c>
      <c r="C43" s="86"/>
      <c r="D43" s="202">
        <v>57</v>
      </c>
      <c r="E43" s="202">
        <v>94</v>
      </c>
      <c r="F43" s="229">
        <v>57</v>
      </c>
      <c r="G43" s="202">
        <f t="shared" si="9"/>
        <v>-37</v>
      </c>
      <c r="H43" s="161">
        <f t="shared" si="10"/>
        <v>60.638297872340431</v>
      </c>
    </row>
    <row r="44" spans="1:8" s="52" customFormat="1" ht="22.5" customHeight="1">
      <c r="A44" s="304">
        <v>12</v>
      </c>
      <c r="B44" s="163" t="s">
        <v>468</v>
      </c>
      <c r="C44" s="86"/>
      <c r="D44" s="202">
        <v>157</v>
      </c>
      <c r="E44" s="202">
        <v>150</v>
      </c>
      <c r="F44" s="229">
        <v>70</v>
      </c>
      <c r="G44" s="202">
        <f t="shared" si="9"/>
        <v>-80</v>
      </c>
      <c r="H44" s="161">
        <f t="shared" si="10"/>
        <v>46.666666666666664</v>
      </c>
    </row>
    <row r="45" spans="1:8" s="52" customFormat="1" ht="22.5" customHeight="1">
      <c r="A45" s="304">
        <v>13</v>
      </c>
      <c r="B45" s="163" t="s">
        <v>572</v>
      </c>
      <c r="C45" s="86"/>
      <c r="D45" s="202">
        <v>7234</v>
      </c>
      <c r="E45" s="202">
        <v>8352</v>
      </c>
      <c r="F45" s="229">
        <v>8515</v>
      </c>
      <c r="G45" s="202">
        <f t="shared" si="9"/>
        <v>163</v>
      </c>
      <c r="H45" s="161">
        <f t="shared" si="10"/>
        <v>101.95162835249043</v>
      </c>
    </row>
    <row r="46" spans="1:8" s="52" customFormat="1" ht="78" customHeight="1">
      <c r="A46" s="304">
        <v>14</v>
      </c>
      <c r="B46" s="163" t="s">
        <v>573</v>
      </c>
      <c r="C46" s="86"/>
      <c r="D46" s="202">
        <v>6123</v>
      </c>
      <c r="E46" s="202">
        <v>7152</v>
      </c>
      <c r="F46" s="202">
        <v>6477</v>
      </c>
      <c r="G46" s="202">
        <f t="shared" si="9"/>
        <v>-675</v>
      </c>
      <c r="H46" s="161">
        <f t="shared" si="10"/>
        <v>90.562080536912745</v>
      </c>
    </row>
    <row r="47" spans="1:8" s="52" customFormat="1" ht="21" customHeight="1">
      <c r="A47" s="304">
        <v>15</v>
      </c>
      <c r="B47" s="160" t="s">
        <v>574</v>
      </c>
      <c r="C47" s="86"/>
      <c r="D47" s="202">
        <v>167</v>
      </c>
      <c r="E47" s="202">
        <v>250</v>
      </c>
      <c r="F47" s="202">
        <v>59</v>
      </c>
      <c r="G47" s="202">
        <f t="shared" si="9"/>
        <v>-191</v>
      </c>
      <c r="H47" s="161">
        <f t="shared" si="10"/>
        <v>23.599999999999998</v>
      </c>
    </row>
    <row r="48" spans="1:8" s="52" customFormat="1" ht="21" customHeight="1">
      <c r="A48" s="304">
        <v>16</v>
      </c>
      <c r="B48" s="163" t="s">
        <v>644</v>
      </c>
      <c r="C48" s="86"/>
      <c r="D48" s="202">
        <v>3000</v>
      </c>
      <c r="E48" s="202"/>
      <c r="F48" s="229"/>
      <c r="G48" s="202">
        <f t="shared" si="9"/>
        <v>0</v>
      </c>
      <c r="H48" s="161"/>
    </row>
    <row r="49" spans="1:8" s="52" customFormat="1" ht="21" customHeight="1">
      <c r="A49" s="304">
        <v>17</v>
      </c>
      <c r="B49" s="163" t="s">
        <v>575</v>
      </c>
      <c r="C49" s="86"/>
      <c r="D49" s="202">
        <v>665</v>
      </c>
      <c r="E49" s="202">
        <v>500</v>
      </c>
      <c r="F49" s="229">
        <v>333</v>
      </c>
      <c r="G49" s="202">
        <f t="shared" si="9"/>
        <v>-167</v>
      </c>
      <c r="H49" s="161">
        <f t="shared" si="10"/>
        <v>66.600000000000009</v>
      </c>
    </row>
    <row r="50" spans="1:8" s="52" customFormat="1" ht="21" customHeight="1">
      <c r="A50" s="304">
        <v>18</v>
      </c>
      <c r="B50" s="163" t="s">
        <v>576</v>
      </c>
      <c r="C50" s="86"/>
      <c r="D50" s="202">
        <v>370</v>
      </c>
      <c r="E50" s="202">
        <v>480</v>
      </c>
      <c r="F50" s="202">
        <v>437</v>
      </c>
      <c r="G50" s="202">
        <f t="shared" si="9"/>
        <v>-43</v>
      </c>
      <c r="H50" s="161">
        <f t="shared" si="10"/>
        <v>91.041666666666671</v>
      </c>
    </row>
    <row r="51" spans="1:8" s="52" customFormat="1" ht="21" customHeight="1">
      <c r="A51" s="304">
        <v>19</v>
      </c>
      <c r="B51" s="163" t="s">
        <v>577</v>
      </c>
      <c r="C51" s="86"/>
      <c r="D51" s="202">
        <v>1057</v>
      </c>
      <c r="E51" s="202">
        <v>1050</v>
      </c>
      <c r="F51" s="202">
        <v>2669</v>
      </c>
      <c r="G51" s="202">
        <f t="shared" si="9"/>
        <v>1619</v>
      </c>
      <c r="H51" s="161">
        <f t="shared" si="10"/>
        <v>254.1904761904762</v>
      </c>
    </row>
    <row r="52" spans="1:8" s="52" customFormat="1" ht="21" customHeight="1">
      <c r="A52" s="304">
        <v>20</v>
      </c>
      <c r="B52" s="163" t="s">
        <v>578</v>
      </c>
      <c r="C52" s="86"/>
      <c r="D52" s="202">
        <v>90</v>
      </c>
      <c r="E52" s="202">
        <v>114</v>
      </c>
      <c r="F52" s="202">
        <v>81</v>
      </c>
      <c r="G52" s="202">
        <f t="shared" si="9"/>
        <v>-33</v>
      </c>
      <c r="H52" s="161">
        <f t="shared" si="10"/>
        <v>71.05263157894737</v>
      </c>
    </row>
    <row r="53" spans="1:8" s="52" customFormat="1" ht="21" customHeight="1">
      <c r="A53" s="304">
        <v>21</v>
      </c>
      <c r="B53" s="163" t="s">
        <v>579</v>
      </c>
      <c r="C53" s="86"/>
      <c r="D53" s="202">
        <v>196</v>
      </c>
      <c r="E53" s="202">
        <v>400</v>
      </c>
      <c r="F53" s="229">
        <v>589</v>
      </c>
      <c r="G53" s="202">
        <f t="shared" si="9"/>
        <v>189</v>
      </c>
      <c r="H53" s="161">
        <f t="shared" si="10"/>
        <v>147.25</v>
      </c>
    </row>
    <row r="54" spans="1:8" s="52" customFormat="1" ht="21" customHeight="1">
      <c r="A54" s="304">
        <v>22</v>
      </c>
      <c r="B54" s="163" t="s">
        <v>580</v>
      </c>
      <c r="C54" s="86"/>
      <c r="D54" s="202">
        <v>983</v>
      </c>
      <c r="E54" s="202">
        <v>600</v>
      </c>
      <c r="F54" s="229">
        <v>877</v>
      </c>
      <c r="G54" s="202">
        <f t="shared" si="9"/>
        <v>277</v>
      </c>
      <c r="H54" s="161">
        <f t="shared" si="10"/>
        <v>146.16666666666666</v>
      </c>
    </row>
    <row r="55" spans="1:8" s="52" customFormat="1" ht="21" customHeight="1">
      <c r="A55" s="304">
        <v>23</v>
      </c>
      <c r="B55" s="163" t="s">
        <v>581</v>
      </c>
      <c r="C55" s="86"/>
      <c r="D55" s="202"/>
      <c r="E55" s="202"/>
      <c r="F55" s="202"/>
      <c r="G55" s="202">
        <f t="shared" si="9"/>
        <v>0</v>
      </c>
      <c r="H55" s="161"/>
    </row>
    <row r="56" spans="1:8" s="52" customFormat="1" ht="22.8" customHeight="1">
      <c r="A56" s="304"/>
      <c r="B56" s="163" t="s">
        <v>582</v>
      </c>
      <c r="C56" s="86"/>
      <c r="D56" s="202">
        <v>50</v>
      </c>
      <c r="E56" s="202"/>
      <c r="F56" s="202"/>
      <c r="G56" s="202">
        <f>F56-E56</f>
        <v>0</v>
      </c>
      <c r="H56" s="161"/>
    </row>
    <row r="57" spans="1:8" s="52" customFormat="1" ht="22.8" customHeight="1">
      <c r="A57" s="304"/>
      <c r="B57" s="163" t="s">
        <v>585</v>
      </c>
      <c r="C57" s="86"/>
      <c r="D57" s="202">
        <v>254</v>
      </c>
      <c r="E57" s="202"/>
      <c r="F57" s="202">
        <v>82</v>
      </c>
      <c r="G57" s="202">
        <f>F57-E57</f>
        <v>82</v>
      </c>
      <c r="H57" s="161"/>
    </row>
    <row r="58" spans="1:8" s="52" customFormat="1" ht="22.8" customHeight="1">
      <c r="A58" s="304"/>
      <c r="B58" s="163" t="s">
        <v>747</v>
      </c>
      <c r="C58" s="86"/>
      <c r="D58" s="202"/>
      <c r="E58" s="202">
        <v>370</v>
      </c>
      <c r="F58" s="202"/>
      <c r="G58" s="202"/>
      <c r="H58" s="161"/>
    </row>
    <row r="59" spans="1:8" s="52" customFormat="1" ht="22.8" customHeight="1">
      <c r="A59" s="304"/>
      <c r="B59" s="163" t="s">
        <v>588</v>
      </c>
      <c r="C59" s="86"/>
      <c r="D59" s="202">
        <v>1063</v>
      </c>
      <c r="E59" s="202">
        <v>1080</v>
      </c>
      <c r="F59" s="202">
        <v>1296</v>
      </c>
      <c r="G59" s="202">
        <f>F59-E59</f>
        <v>216</v>
      </c>
      <c r="H59" s="161">
        <f>(F59/E59)*100</f>
        <v>120</v>
      </c>
    </row>
    <row r="60" spans="1:8" s="52" customFormat="1" ht="22.8" customHeight="1">
      <c r="A60" s="304"/>
      <c r="B60" s="163" t="s">
        <v>786</v>
      </c>
      <c r="C60" s="86"/>
      <c r="D60" s="202"/>
      <c r="E60" s="202"/>
      <c r="F60" s="202">
        <v>5000</v>
      </c>
      <c r="G60" s="202"/>
      <c r="H60" s="161"/>
    </row>
    <row r="61" spans="1:8" s="52" customFormat="1" ht="22.8" customHeight="1">
      <c r="A61" s="304"/>
      <c r="B61" s="163" t="s">
        <v>591</v>
      </c>
      <c r="C61" s="86"/>
      <c r="D61" s="202">
        <v>2670</v>
      </c>
      <c r="E61" s="202">
        <v>4055</v>
      </c>
      <c r="F61" s="202">
        <v>3432</v>
      </c>
      <c r="G61" s="202">
        <f t="shared" ref="G61:G69" si="11">F61-E61</f>
        <v>-623</v>
      </c>
      <c r="H61" s="161">
        <f>(F61/E61)*100</f>
        <v>84.636251541307033</v>
      </c>
    </row>
    <row r="62" spans="1:8" s="52" customFormat="1" ht="36" customHeight="1">
      <c r="A62" s="304"/>
      <c r="B62" s="163" t="s">
        <v>590</v>
      </c>
      <c r="C62" s="86"/>
      <c r="D62" s="202"/>
      <c r="E62" s="202">
        <v>120</v>
      </c>
      <c r="F62" s="202"/>
      <c r="G62" s="202">
        <f t="shared" si="11"/>
        <v>-120</v>
      </c>
      <c r="H62" s="161">
        <f>(F62/E62)*100</f>
        <v>0</v>
      </c>
    </row>
    <row r="63" spans="1:8" s="52" customFormat="1" ht="25.8" customHeight="1">
      <c r="A63" s="304"/>
      <c r="B63" s="163" t="s">
        <v>785</v>
      </c>
      <c r="C63" s="86"/>
      <c r="D63" s="202">
        <v>202</v>
      </c>
      <c r="E63" s="202">
        <v>280</v>
      </c>
      <c r="F63" s="202">
        <v>436</v>
      </c>
      <c r="G63" s="202">
        <f t="shared" si="11"/>
        <v>156</v>
      </c>
      <c r="H63" s="161">
        <f>(F63/E63)*100</f>
        <v>155.71428571428572</v>
      </c>
    </row>
    <row r="64" spans="1:8" s="52" customFormat="1" ht="25.8" customHeight="1">
      <c r="A64" s="304"/>
      <c r="B64" s="163" t="s">
        <v>584</v>
      </c>
      <c r="C64" s="86"/>
      <c r="D64" s="202">
        <v>272</v>
      </c>
      <c r="E64" s="202"/>
      <c r="F64" s="202"/>
      <c r="G64" s="202">
        <f t="shared" si="11"/>
        <v>0</v>
      </c>
      <c r="H64" s="161"/>
    </row>
    <row r="65" spans="1:8" s="52" customFormat="1" ht="25.8" customHeight="1">
      <c r="A65" s="304"/>
      <c r="B65" s="163" t="s">
        <v>645</v>
      </c>
      <c r="C65" s="86"/>
      <c r="D65" s="202">
        <v>2000</v>
      </c>
      <c r="E65" s="202"/>
      <c r="F65" s="202"/>
      <c r="G65" s="202">
        <f t="shared" si="11"/>
        <v>0</v>
      </c>
      <c r="H65" s="161"/>
    </row>
    <row r="66" spans="1:8" s="52" customFormat="1" ht="25.8" customHeight="1">
      <c r="A66" s="304"/>
      <c r="B66" s="163" t="s">
        <v>587</v>
      </c>
      <c r="C66" s="86"/>
      <c r="D66" s="202">
        <v>3403</v>
      </c>
      <c r="E66" s="202">
        <v>3300</v>
      </c>
      <c r="F66" s="202"/>
      <c r="G66" s="202">
        <f t="shared" si="11"/>
        <v>-3300</v>
      </c>
      <c r="H66" s="161">
        <f>(F66/E66)*100</f>
        <v>0</v>
      </c>
    </row>
    <row r="67" spans="1:8" s="52" customFormat="1" ht="36" customHeight="1">
      <c r="A67" s="304"/>
      <c r="B67" s="163" t="s">
        <v>583</v>
      </c>
      <c r="C67" s="86"/>
      <c r="D67" s="202">
        <v>812</v>
      </c>
      <c r="E67" s="202">
        <v>1350</v>
      </c>
      <c r="F67" s="202">
        <v>2473</v>
      </c>
      <c r="G67" s="202">
        <f t="shared" si="11"/>
        <v>1123</v>
      </c>
      <c r="H67" s="161">
        <f>(F67/E67)*100</f>
        <v>183.18518518518519</v>
      </c>
    </row>
    <row r="68" spans="1:8" s="187" customFormat="1" ht="25.8" customHeight="1">
      <c r="A68" s="304"/>
      <c r="B68" s="163" t="s">
        <v>586</v>
      </c>
      <c r="C68" s="86"/>
      <c r="D68" s="202">
        <v>950</v>
      </c>
      <c r="E68" s="202">
        <v>960</v>
      </c>
      <c r="F68" s="202">
        <v>835</v>
      </c>
      <c r="G68" s="202">
        <f t="shared" si="11"/>
        <v>-125</v>
      </c>
      <c r="H68" s="161">
        <f>(F68/E68)*100</f>
        <v>86.979166666666657</v>
      </c>
    </row>
    <row r="69" spans="1:8" s="187" customFormat="1" ht="25.8" customHeight="1">
      <c r="A69" s="304"/>
      <c r="B69" s="163" t="s">
        <v>589</v>
      </c>
      <c r="C69" s="86"/>
      <c r="D69" s="202">
        <v>66</v>
      </c>
      <c r="E69" s="202"/>
      <c r="F69" s="202"/>
      <c r="G69" s="202">
        <f t="shared" si="11"/>
        <v>0</v>
      </c>
      <c r="H69" s="161"/>
    </row>
    <row r="70" spans="1:8" s="52" customFormat="1" ht="24.75" customHeight="1">
      <c r="A70" s="451" t="s">
        <v>232</v>
      </c>
      <c r="B70" s="451"/>
      <c r="C70" s="124"/>
      <c r="D70" s="204"/>
      <c r="E70" s="204"/>
      <c r="F70" s="204"/>
      <c r="G70" s="202">
        <f t="shared" si="9"/>
        <v>0</v>
      </c>
      <c r="H70" s="161"/>
    </row>
    <row r="71" spans="1:8" s="52" customFormat="1" ht="43.5" customHeight="1">
      <c r="A71" s="452" t="s">
        <v>209</v>
      </c>
      <c r="B71" s="453"/>
      <c r="C71" s="186"/>
      <c r="D71" s="232"/>
      <c r="E71" s="232"/>
      <c r="F71" s="232"/>
      <c r="G71" s="202">
        <f t="shared" si="9"/>
        <v>0</v>
      </c>
      <c r="H71" s="161"/>
    </row>
    <row r="72" spans="1:8" s="52" customFormat="1" ht="21">
      <c r="A72" s="433" t="s">
        <v>388</v>
      </c>
      <c r="B72" s="434"/>
      <c r="C72" s="124">
        <v>3240</v>
      </c>
      <c r="D72" s="204">
        <f>-K74</f>
        <v>0</v>
      </c>
      <c r="E72" s="204">
        <v>0</v>
      </c>
      <c r="F72" s="204">
        <v>0</v>
      </c>
      <c r="G72" s="204">
        <v>0</v>
      </c>
      <c r="H72" s="158">
        <v>0</v>
      </c>
    </row>
    <row r="73" spans="1:8" s="52" customFormat="1" ht="21">
      <c r="A73" s="435" t="s">
        <v>216</v>
      </c>
      <c r="B73" s="435"/>
      <c r="C73" s="186"/>
      <c r="D73" s="232"/>
      <c r="E73" s="232"/>
      <c r="F73" s="232"/>
      <c r="G73" s="202">
        <f>SUM(H73:H73)</f>
        <v>0</v>
      </c>
      <c r="H73" s="161"/>
    </row>
    <row r="74" spans="1:8" s="52" customFormat="1" ht="21">
      <c r="A74" s="436" t="s">
        <v>366</v>
      </c>
      <c r="B74" s="436"/>
      <c r="C74" s="86"/>
      <c r="D74" s="232"/>
      <c r="E74" s="232"/>
      <c r="F74" s="232"/>
      <c r="G74" s="202">
        <f>SUM(H74:H74)</f>
        <v>0</v>
      </c>
      <c r="H74" s="161"/>
    </row>
    <row r="75" spans="1:8" s="52" customFormat="1" ht="21">
      <c r="A75" s="443" t="s">
        <v>390</v>
      </c>
      <c r="B75" s="444"/>
      <c r="C75" s="124">
        <v>3271</v>
      </c>
      <c r="D75" s="233">
        <v>0</v>
      </c>
      <c r="E75" s="233">
        <f>E76</f>
        <v>2781</v>
      </c>
      <c r="F75" s="233">
        <f>F76</f>
        <v>2781</v>
      </c>
      <c r="G75" s="204">
        <f>SUM(H75:H75)</f>
        <v>0</v>
      </c>
      <c r="H75" s="158">
        <v>0</v>
      </c>
    </row>
    <row r="76" spans="1:8" s="52" customFormat="1" ht="36">
      <c r="A76" s="188"/>
      <c r="B76" s="165" t="s">
        <v>729</v>
      </c>
      <c r="C76" s="86"/>
      <c r="D76" s="277"/>
      <c r="E76" s="277">
        <v>2781</v>
      </c>
      <c r="F76" s="277">
        <v>2781</v>
      </c>
      <c r="G76" s="202"/>
      <c r="H76" s="161"/>
    </row>
    <row r="77" spans="1:8" s="52" customFormat="1" ht="43.2" customHeight="1">
      <c r="A77" s="436" t="s">
        <v>592</v>
      </c>
      <c r="B77" s="436"/>
      <c r="C77" s="124">
        <v>3272</v>
      </c>
      <c r="D77" s="204">
        <f>SUM(D78:D96)</f>
        <v>24528</v>
      </c>
      <c r="E77" s="204">
        <f>SUM(E78:E96)</f>
        <v>136251</v>
      </c>
      <c r="F77" s="204">
        <f>SUM(F78:F96)</f>
        <v>150548</v>
      </c>
      <c r="G77" s="204">
        <f t="shared" ref="G77" si="12">F77-E77</f>
        <v>14297</v>
      </c>
      <c r="H77" s="158">
        <f t="shared" ref="H77" si="13">(F77/E77)*100</f>
        <v>110.49313399534681</v>
      </c>
    </row>
    <row r="78" spans="1:8" s="52" customFormat="1" ht="21">
      <c r="A78" s="288">
        <v>1</v>
      </c>
      <c r="B78" s="163" t="s">
        <v>646</v>
      </c>
      <c r="C78" s="86"/>
      <c r="D78" s="202">
        <v>1383</v>
      </c>
      <c r="E78" s="202"/>
      <c r="F78" s="202">
        <v>2370</v>
      </c>
      <c r="G78" s="202">
        <f>F78-E78</f>
        <v>2370</v>
      </c>
      <c r="H78" s="161"/>
    </row>
    <row r="79" spans="1:8" s="52" customFormat="1" ht="43.8" customHeight="1">
      <c r="A79" s="288">
        <v>2</v>
      </c>
      <c r="B79" s="165" t="s">
        <v>748</v>
      </c>
      <c r="C79" s="86"/>
      <c r="D79" s="202"/>
      <c r="E79" s="202">
        <v>7332</v>
      </c>
      <c r="F79" s="202">
        <v>7332</v>
      </c>
      <c r="G79" s="202">
        <f t="shared" ref="G79:G96" si="14">F79-E79</f>
        <v>0</v>
      </c>
      <c r="H79" s="161">
        <f t="shared" ref="H79:H86" si="15">(F79/E79)*100</f>
        <v>100</v>
      </c>
    </row>
    <row r="80" spans="1:8" s="52" customFormat="1" ht="21">
      <c r="A80" s="288">
        <v>3</v>
      </c>
      <c r="B80" s="160" t="s">
        <v>752</v>
      </c>
      <c r="C80" s="86"/>
      <c r="D80" s="202"/>
      <c r="E80" s="202">
        <v>4590</v>
      </c>
      <c r="F80" s="202">
        <v>4590</v>
      </c>
      <c r="G80" s="202">
        <f t="shared" si="14"/>
        <v>0</v>
      </c>
      <c r="H80" s="161">
        <f t="shared" si="15"/>
        <v>100</v>
      </c>
    </row>
    <row r="81" spans="1:8" s="52" customFormat="1" ht="21">
      <c r="A81" s="288">
        <v>4</v>
      </c>
      <c r="B81" s="163" t="s">
        <v>647</v>
      </c>
      <c r="C81" s="86"/>
      <c r="D81" s="202">
        <v>372</v>
      </c>
      <c r="E81" s="202"/>
      <c r="F81" s="202"/>
      <c r="G81" s="202">
        <f t="shared" si="14"/>
        <v>0</v>
      </c>
      <c r="H81" s="161"/>
    </row>
    <row r="82" spans="1:8" s="52" customFormat="1" ht="38.4" customHeight="1">
      <c r="A82" s="288">
        <v>5</v>
      </c>
      <c r="B82" s="163" t="s">
        <v>749</v>
      </c>
      <c r="C82" s="86"/>
      <c r="D82" s="202"/>
      <c r="E82" s="202">
        <v>3464</v>
      </c>
      <c r="F82" s="202">
        <v>12731</v>
      </c>
      <c r="G82" s="202">
        <f t="shared" si="14"/>
        <v>9267</v>
      </c>
      <c r="H82" s="161">
        <f t="shared" si="15"/>
        <v>367.5230946882217</v>
      </c>
    </row>
    <row r="83" spans="1:8" s="52" customFormat="1" ht="39" customHeight="1">
      <c r="A83" s="288">
        <v>6</v>
      </c>
      <c r="B83" s="163" t="s">
        <v>730</v>
      </c>
      <c r="C83" s="86"/>
      <c r="D83" s="202"/>
      <c r="E83" s="202">
        <v>117978</v>
      </c>
      <c r="F83" s="202">
        <v>118865</v>
      </c>
      <c r="G83" s="202">
        <f t="shared" si="14"/>
        <v>887</v>
      </c>
      <c r="H83" s="161">
        <f t="shared" si="15"/>
        <v>100.75183508789773</v>
      </c>
    </row>
    <row r="84" spans="1:8" s="52" customFormat="1" ht="21">
      <c r="A84" s="288">
        <v>7</v>
      </c>
      <c r="B84" s="163" t="s">
        <v>648</v>
      </c>
      <c r="C84" s="86"/>
      <c r="D84" s="202">
        <v>293</v>
      </c>
      <c r="E84" s="202"/>
      <c r="F84" s="202"/>
      <c r="G84" s="202">
        <f t="shared" si="14"/>
        <v>0</v>
      </c>
      <c r="H84" s="161"/>
    </row>
    <row r="85" spans="1:8" s="52" customFormat="1" ht="21">
      <c r="A85" s="288">
        <v>8</v>
      </c>
      <c r="B85" s="163" t="s">
        <v>750</v>
      </c>
      <c r="C85" s="86"/>
      <c r="D85" s="202"/>
      <c r="E85" s="202">
        <v>1300</v>
      </c>
      <c r="F85" s="202">
        <v>1300</v>
      </c>
      <c r="G85" s="202">
        <f t="shared" si="14"/>
        <v>0</v>
      </c>
      <c r="H85" s="161">
        <f t="shared" si="15"/>
        <v>100</v>
      </c>
    </row>
    <row r="86" spans="1:8" s="52" customFormat="1" ht="21">
      <c r="A86" s="288">
        <v>9</v>
      </c>
      <c r="B86" s="160" t="s">
        <v>751</v>
      </c>
      <c r="C86" s="86"/>
      <c r="D86" s="202"/>
      <c r="E86" s="202">
        <v>1587</v>
      </c>
      <c r="F86" s="202">
        <v>1290</v>
      </c>
      <c r="G86" s="202">
        <f t="shared" si="14"/>
        <v>-297</v>
      </c>
      <c r="H86" s="161">
        <f t="shared" si="15"/>
        <v>81.285444234404537</v>
      </c>
    </row>
    <row r="87" spans="1:8" s="52" customFormat="1" ht="24" customHeight="1">
      <c r="A87" s="288">
        <v>10</v>
      </c>
      <c r="B87" s="174" t="s">
        <v>787</v>
      </c>
      <c r="C87" s="86"/>
      <c r="D87" s="202"/>
      <c r="E87" s="202"/>
      <c r="F87" s="202">
        <v>1359</v>
      </c>
      <c r="G87" s="202">
        <f t="shared" si="14"/>
        <v>1359</v>
      </c>
      <c r="H87" s="161"/>
    </row>
    <row r="88" spans="1:8" s="52" customFormat="1" ht="21">
      <c r="A88" s="288">
        <v>11</v>
      </c>
      <c r="B88" s="163" t="s">
        <v>649</v>
      </c>
      <c r="C88" s="86"/>
      <c r="D88" s="202">
        <v>57</v>
      </c>
      <c r="E88" s="202"/>
      <c r="F88" s="202"/>
      <c r="G88" s="202">
        <f t="shared" si="14"/>
        <v>0</v>
      </c>
      <c r="H88" s="161"/>
    </row>
    <row r="89" spans="1:8" s="52" customFormat="1" ht="21">
      <c r="A89" s="288">
        <v>12</v>
      </c>
      <c r="B89" s="177" t="s">
        <v>530</v>
      </c>
      <c r="C89" s="86"/>
      <c r="D89" s="202">
        <v>26</v>
      </c>
      <c r="E89" s="202"/>
      <c r="F89" s="202"/>
      <c r="G89" s="202">
        <f t="shared" si="14"/>
        <v>0</v>
      </c>
      <c r="H89" s="161"/>
    </row>
    <row r="90" spans="1:8" s="52" customFormat="1" ht="21">
      <c r="A90" s="288">
        <v>13</v>
      </c>
      <c r="B90" s="177" t="s">
        <v>532</v>
      </c>
      <c r="C90" s="86"/>
      <c r="D90" s="202">
        <v>50</v>
      </c>
      <c r="E90" s="202"/>
      <c r="F90" s="202"/>
      <c r="G90" s="202">
        <f t="shared" si="14"/>
        <v>0</v>
      </c>
      <c r="H90" s="161"/>
    </row>
    <row r="91" spans="1:8" s="52" customFormat="1" ht="36">
      <c r="A91" s="288">
        <v>14</v>
      </c>
      <c r="B91" s="177" t="s">
        <v>625</v>
      </c>
      <c r="C91" s="86"/>
      <c r="D91" s="202">
        <v>22154</v>
      </c>
      <c r="E91" s="202"/>
      <c r="F91" s="202"/>
      <c r="G91" s="202">
        <f t="shared" si="14"/>
        <v>0</v>
      </c>
      <c r="H91" s="161"/>
    </row>
    <row r="92" spans="1:8" s="52" customFormat="1" ht="25.8" customHeight="1">
      <c r="A92" s="288">
        <v>15</v>
      </c>
      <c r="B92" s="163" t="s">
        <v>593</v>
      </c>
      <c r="C92" s="86"/>
      <c r="D92" s="202">
        <v>26</v>
      </c>
      <c r="E92" s="202"/>
      <c r="F92" s="202"/>
      <c r="G92" s="202">
        <f t="shared" si="14"/>
        <v>0</v>
      </c>
      <c r="H92" s="161"/>
    </row>
    <row r="93" spans="1:8" s="52" customFormat="1" ht="39.6" customHeight="1">
      <c r="A93" s="288">
        <v>16</v>
      </c>
      <c r="B93" s="174" t="s">
        <v>767</v>
      </c>
      <c r="C93" s="86"/>
      <c r="D93" s="202"/>
      <c r="E93" s="202"/>
      <c r="F93" s="202">
        <v>353</v>
      </c>
      <c r="G93" s="202">
        <f t="shared" si="14"/>
        <v>353</v>
      </c>
      <c r="H93" s="161"/>
    </row>
    <row r="94" spans="1:8" s="52" customFormat="1" ht="21">
      <c r="A94" s="288">
        <v>17</v>
      </c>
      <c r="B94" s="174" t="s">
        <v>788</v>
      </c>
      <c r="C94" s="86"/>
      <c r="D94" s="202"/>
      <c r="E94" s="202"/>
      <c r="F94" s="202">
        <v>358</v>
      </c>
      <c r="G94" s="202">
        <f t="shared" si="14"/>
        <v>358</v>
      </c>
      <c r="H94" s="161"/>
    </row>
    <row r="95" spans="1:8" s="52" customFormat="1" ht="23.4" customHeight="1">
      <c r="A95" s="288">
        <v>18</v>
      </c>
      <c r="B95" s="163" t="s">
        <v>650</v>
      </c>
      <c r="C95" s="86"/>
      <c r="D95" s="202">
        <v>68</v>
      </c>
      <c r="E95" s="202"/>
      <c r="F95" s="202"/>
      <c r="G95" s="202">
        <f t="shared" si="14"/>
        <v>0</v>
      </c>
      <c r="H95" s="161"/>
    </row>
    <row r="96" spans="1:8" s="52" customFormat="1" ht="22.8" customHeight="1">
      <c r="A96" s="288">
        <v>19</v>
      </c>
      <c r="B96" s="163" t="s">
        <v>651</v>
      </c>
      <c r="C96" s="86"/>
      <c r="D96" s="202">
        <v>99</v>
      </c>
      <c r="E96" s="202"/>
      <c r="F96" s="202"/>
      <c r="G96" s="202">
        <f t="shared" si="14"/>
        <v>0</v>
      </c>
      <c r="H96" s="161"/>
    </row>
    <row r="97" spans="1:8" s="52" customFormat="1" ht="42.6" customHeight="1">
      <c r="A97" s="436" t="s">
        <v>391</v>
      </c>
      <c r="B97" s="436"/>
      <c r="C97" s="124">
        <v>3274</v>
      </c>
      <c r="D97" s="204">
        <f t="shared" ref="D97:H97" si="16">D98</f>
        <v>5</v>
      </c>
      <c r="E97" s="204">
        <f t="shared" si="16"/>
        <v>10</v>
      </c>
      <c r="F97" s="204">
        <f t="shared" si="16"/>
        <v>0</v>
      </c>
      <c r="G97" s="204">
        <f t="shared" si="16"/>
        <v>-10</v>
      </c>
      <c r="H97" s="158">
        <f t="shared" si="16"/>
        <v>0</v>
      </c>
    </row>
    <row r="98" spans="1:8" s="52" customFormat="1" ht="21">
      <c r="A98" s="188" t="s">
        <v>594</v>
      </c>
      <c r="B98" s="163" t="s">
        <v>538</v>
      </c>
      <c r="C98" s="86"/>
      <c r="D98" s="202">
        <v>5</v>
      </c>
      <c r="E98" s="202">
        <v>10</v>
      </c>
      <c r="F98" s="202"/>
      <c r="G98" s="202">
        <f t="shared" ref="G98" si="17">F98-E98</f>
        <v>-10</v>
      </c>
      <c r="H98" s="161">
        <f t="shared" ref="H98:H99" si="18">(F98/E98)*100</f>
        <v>0</v>
      </c>
    </row>
    <row r="99" spans="1:8" s="52" customFormat="1" ht="57" customHeight="1">
      <c r="A99" s="436" t="s">
        <v>595</v>
      </c>
      <c r="B99" s="436"/>
      <c r="C99" s="124">
        <v>3275</v>
      </c>
      <c r="D99" s="204">
        <f>SUM(D100:D104)</f>
        <v>75584</v>
      </c>
      <c r="E99" s="204">
        <f>SUM(E100:E105)</f>
        <v>6820</v>
      </c>
      <c r="F99" s="204">
        <f>SUM(F100:F105)</f>
        <v>7867</v>
      </c>
      <c r="G99" s="204">
        <f>F99-E99</f>
        <v>1047</v>
      </c>
      <c r="H99" s="158">
        <f t="shared" si="18"/>
        <v>115.35190615835778</v>
      </c>
    </row>
    <row r="100" spans="1:8" s="52" customFormat="1" ht="21">
      <c r="A100" s="188" t="s">
        <v>594</v>
      </c>
      <c r="B100" s="179" t="s">
        <v>596</v>
      </c>
      <c r="C100" s="189"/>
      <c r="D100" s="202">
        <v>295</v>
      </c>
      <c r="E100" s="202"/>
      <c r="F100" s="202"/>
      <c r="G100" s="202">
        <f t="shared" ref="G100" si="19">F100-E100</f>
        <v>0</v>
      </c>
      <c r="H100" s="161"/>
    </row>
    <row r="101" spans="1:8" s="52" customFormat="1" ht="36">
      <c r="A101" s="188" t="s">
        <v>597</v>
      </c>
      <c r="B101" s="163" t="s">
        <v>539</v>
      </c>
      <c r="C101" s="189"/>
      <c r="D101" s="202"/>
      <c r="E101" s="202"/>
      <c r="F101" s="202"/>
      <c r="G101" s="202">
        <f t="shared" ref="G101:G105" si="20">F101-E101</f>
        <v>0</v>
      </c>
      <c r="H101" s="161"/>
    </row>
    <row r="102" spans="1:8" s="52" customFormat="1" ht="21">
      <c r="A102" s="188" t="s">
        <v>598</v>
      </c>
      <c r="B102" s="177" t="s">
        <v>618</v>
      </c>
      <c r="C102" s="189"/>
      <c r="D102" s="202"/>
      <c r="E102" s="202"/>
      <c r="F102" s="202"/>
      <c r="G102" s="202">
        <f t="shared" si="20"/>
        <v>0</v>
      </c>
      <c r="H102" s="161"/>
    </row>
    <row r="103" spans="1:8" s="52" customFormat="1" ht="21">
      <c r="A103" s="188" t="s">
        <v>601</v>
      </c>
      <c r="B103" s="177" t="s">
        <v>602</v>
      </c>
      <c r="C103" s="86"/>
      <c r="D103" s="202">
        <v>74440</v>
      </c>
      <c r="E103" s="202"/>
      <c r="F103" s="202"/>
      <c r="G103" s="202">
        <f t="shared" si="20"/>
        <v>0</v>
      </c>
      <c r="H103" s="161"/>
    </row>
    <row r="104" spans="1:8" s="52" customFormat="1" ht="36">
      <c r="A104" s="188" t="s">
        <v>599</v>
      </c>
      <c r="B104" s="163" t="s">
        <v>540</v>
      </c>
      <c r="C104" s="86"/>
      <c r="D104" s="202">
        <v>849</v>
      </c>
      <c r="E104" s="202"/>
      <c r="F104" s="202"/>
      <c r="G104" s="202">
        <f t="shared" si="20"/>
        <v>0</v>
      </c>
      <c r="H104" s="161"/>
    </row>
    <row r="105" spans="1:8" s="52" customFormat="1" ht="36">
      <c r="A105" s="188" t="s">
        <v>600</v>
      </c>
      <c r="B105" s="163" t="s">
        <v>745</v>
      </c>
      <c r="C105" s="86"/>
      <c r="D105" s="202"/>
      <c r="E105" s="202">
        <v>6820</v>
      </c>
      <c r="F105" s="202">
        <v>7867</v>
      </c>
      <c r="G105" s="202">
        <f t="shared" si="20"/>
        <v>1047</v>
      </c>
      <c r="H105" s="161">
        <f t="shared" ref="H105" si="21">(F105/E105)*100</f>
        <v>115.35190615835778</v>
      </c>
    </row>
    <row r="106" spans="1:8" s="52" customFormat="1" ht="21">
      <c r="A106" s="436" t="s">
        <v>603</v>
      </c>
      <c r="B106" s="436"/>
      <c r="C106" s="124">
        <v>3276</v>
      </c>
      <c r="D106" s="204">
        <f>SUM(D107:D112)</f>
        <v>0</v>
      </c>
      <c r="E106" s="204">
        <f>SUM(E107:E112)</f>
        <v>48656</v>
      </c>
      <c r="F106" s="204">
        <f>SUM(F107:F112)</f>
        <v>46573</v>
      </c>
      <c r="G106" s="204">
        <f>SUM(G107:G112)</f>
        <v>-2083</v>
      </c>
      <c r="H106" s="158"/>
    </row>
    <row r="107" spans="1:8" s="52" customFormat="1" ht="36">
      <c r="A107" s="190" t="s">
        <v>594</v>
      </c>
      <c r="B107" s="163" t="s">
        <v>753</v>
      </c>
      <c r="C107" s="86"/>
      <c r="D107" s="202"/>
      <c r="E107" s="202">
        <v>7605</v>
      </c>
      <c r="F107" s="202">
        <v>7605</v>
      </c>
      <c r="G107" s="202">
        <f t="shared" ref="G107:G114" si="22">F107-E107</f>
        <v>0</v>
      </c>
      <c r="H107" s="161">
        <f t="shared" ref="H107:H112" si="23">(F107/E107)*100</f>
        <v>100</v>
      </c>
    </row>
    <row r="108" spans="1:8" s="52" customFormat="1" ht="21">
      <c r="A108" s="190" t="s">
        <v>597</v>
      </c>
      <c r="B108" s="163" t="s">
        <v>736</v>
      </c>
      <c r="C108" s="86"/>
      <c r="D108" s="202"/>
      <c r="E108" s="202">
        <v>17954</v>
      </c>
      <c r="F108" s="202">
        <v>15871</v>
      </c>
      <c r="G108" s="202">
        <f t="shared" si="22"/>
        <v>-2083</v>
      </c>
      <c r="H108" s="161">
        <f t="shared" si="23"/>
        <v>88.398128550740779</v>
      </c>
    </row>
    <row r="109" spans="1:8" s="52" customFormat="1" ht="21">
      <c r="A109" s="190" t="s">
        <v>598</v>
      </c>
      <c r="B109" s="163" t="s">
        <v>737</v>
      </c>
      <c r="C109" s="86"/>
      <c r="D109" s="202"/>
      <c r="E109" s="202">
        <v>7489</v>
      </c>
      <c r="F109" s="202">
        <v>7489</v>
      </c>
      <c r="G109" s="202">
        <f t="shared" si="22"/>
        <v>0</v>
      </c>
      <c r="H109" s="161">
        <f t="shared" si="23"/>
        <v>100</v>
      </c>
    </row>
    <row r="110" spans="1:8" s="52" customFormat="1" ht="54">
      <c r="A110" s="190" t="s">
        <v>601</v>
      </c>
      <c r="B110" s="163" t="s">
        <v>738</v>
      </c>
      <c r="C110" s="86"/>
      <c r="D110" s="202"/>
      <c r="E110" s="202">
        <v>14148</v>
      </c>
      <c r="F110" s="202">
        <v>14148</v>
      </c>
      <c r="G110" s="202">
        <f t="shared" si="22"/>
        <v>0</v>
      </c>
      <c r="H110" s="161">
        <f t="shared" si="23"/>
        <v>100</v>
      </c>
    </row>
    <row r="111" spans="1:8" s="52" customFormat="1" ht="41.4" customHeight="1">
      <c r="A111" s="190" t="s">
        <v>599</v>
      </c>
      <c r="B111" s="163" t="s">
        <v>746</v>
      </c>
      <c r="C111" s="86"/>
      <c r="D111" s="202"/>
      <c r="E111" s="202">
        <v>926</v>
      </c>
      <c r="F111" s="202">
        <v>926</v>
      </c>
      <c r="G111" s="202">
        <f t="shared" si="22"/>
        <v>0</v>
      </c>
      <c r="H111" s="161">
        <f t="shared" si="23"/>
        <v>100</v>
      </c>
    </row>
    <row r="112" spans="1:8" s="52" customFormat="1" ht="27.6" customHeight="1">
      <c r="A112" s="190" t="s">
        <v>600</v>
      </c>
      <c r="B112" s="163" t="s">
        <v>739</v>
      </c>
      <c r="C112" s="86"/>
      <c r="D112" s="202"/>
      <c r="E112" s="202">
        <v>534</v>
      </c>
      <c r="F112" s="202">
        <v>534</v>
      </c>
      <c r="G112" s="202">
        <f t="shared" si="22"/>
        <v>0</v>
      </c>
      <c r="H112" s="161">
        <f t="shared" si="23"/>
        <v>100</v>
      </c>
    </row>
    <row r="113" spans="1:8" s="52" customFormat="1" ht="21">
      <c r="A113" s="438" t="s">
        <v>233</v>
      </c>
      <c r="B113" s="438"/>
      <c r="C113" s="124">
        <v>3300</v>
      </c>
      <c r="D113" s="204"/>
      <c r="E113" s="204"/>
      <c r="F113" s="204"/>
      <c r="G113" s="202">
        <f t="shared" si="22"/>
        <v>0</v>
      </c>
      <c r="H113" s="161"/>
    </row>
    <row r="114" spans="1:8" s="52" customFormat="1" ht="21">
      <c r="A114" s="435" t="s">
        <v>210</v>
      </c>
      <c r="B114" s="435"/>
      <c r="C114" s="86"/>
      <c r="D114" s="202"/>
      <c r="E114" s="202"/>
      <c r="F114" s="202"/>
      <c r="G114" s="202">
        <f t="shared" si="22"/>
        <v>0</v>
      </c>
      <c r="H114" s="161"/>
    </row>
    <row r="115" spans="1:8" s="52" customFormat="1" ht="21">
      <c r="A115" s="436" t="s">
        <v>388</v>
      </c>
      <c r="B115" s="436"/>
      <c r="C115" s="124">
        <v>3330</v>
      </c>
      <c r="D115" s="204">
        <f>SUM(D116:D116)</f>
        <v>735</v>
      </c>
      <c r="E115" s="204">
        <f>SUM(E116:E116)</f>
        <v>1500</v>
      </c>
      <c r="F115" s="204">
        <f t="shared" ref="F115:H115" si="24">SUM(F116:F116)</f>
        <v>0</v>
      </c>
      <c r="G115" s="204">
        <f t="shared" si="24"/>
        <v>-1500</v>
      </c>
      <c r="H115" s="158">
        <f t="shared" si="24"/>
        <v>0</v>
      </c>
    </row>
    <row r="116" spans="1:8" s="52" customFormat="1" ht="21">
      <c r="A116" s="288">
        <v>1</v>
      </c>
      <c r="B116" s="163" t="s">
        <v>604</v>
      </c>
      <c r="C116" s="86"/>
      <c r="D116" s="202">
        <v>735</v>
      </c>
      <c r="E116" s="202">
        <v>1500</v>
      </c>
      <c r="F116" s="202"/>
      <c r="G116" s="202">
        <f t="shared" ref="G116" si="25">F116-E116</f>
        <v>-1500</v>
      </c>
      <c r="H116" s="161">
        <f t="shared" ref="H116" si="26">(F116/E116)*100</f>
        <v>0</v>
      </c>
    </row>
    <row r="117" spans="1:8" s="52" customFormat="1" ht="21">
      <c r="A117" s="439" t="s">
        <v>217</v>
      </c>
      <c r="B117" s="440"/>
      <c r="C117" s="86"/>
      <c r="D117" s="204"/>
      <c r="E117" s="204"/>
      <c r="F117" s="204"/>
      <c r="G117" s="202">
        <f t="shared" ref="G117" si="27">F117-E117</f>
        <v>0</v>
      </c>
      <c r="H117" s="161"/>
    </row>
    <row r="118" spans="1:8" s="52" customFormat="1" ht="21">
      <c r="A118" s="441" t="s">
        <v>205</v>
      </c>
      <c r="B118" s="442"/>
      <c r="C118" s="124">
        <v>3390</v>
      </c>
      <c r="D118" s="204">
        <f>D119+D122</f>
        <v>7110</v>
      </c>
      <c r="E118" s="204">
        <f>E119+E122</f>
        <v>117</v>
      </c>
      <c r="F118" s="204">
        <f>F119+F122+F125</f>
        <v>90249</v>
      </c>
      <c r="G118" s="204">
        <f t="shared" ref="G118:H118" si="28">G119+G122</f>
        <v>110</v>
      </c>
      <c r="H118" s="158">
        <f t="shared" si="28"/>
        <v>345.80721003134795</v>
      </c>
    </row>
    <row r="119" spans="1:8" s="52" customFormat="1" ht="21">
      <c r="A119" s="288">
        <v>1</v>
      </c>
      <c r="B119" s="163" t="s">
        <v>473</v>
      </c>
      <c r="C119" s="86"/>
      <c r="D119" s="202">
        <f>D120+D121</f>
        <v>3011</v>
      </c>
      <c r="E119" s="202">
        <f>E120+E121</f>
        <v>29</v>
      </c>
      <c r="F119" s="229">
        <v>38</v>
      </c>
      <c r="G119" s="202">
        <f t="shared" ref="G119" si="29">F119-E119</f>
        <v>9</v>
      </c>
      <c r="H119" s="161">
        <f t="shared" ref="H119" si="30">(F119/E119)*100</f>
        <v>131.0344827586207</v>
      </c>
    </row>
    <row r="120" spans="1:8" s="52" customFormat="1" ht="21">
      <c r="A120" s="288" t="s">
        <v>414</v>
      </c>
      <c r="B120" s="163" t="s">
        <v>474</v>
      </c>
      <c r="C120" s="86"/>
      <c r="D120" s="202">
        <v>435</v>
      </c>
      <c r="E120" s="256">
        <v>29</v>
      </c>
      <c r="F120" s="229">
        <v>38</v>
      </c>
      <c r="G120" s="202">
        <f t="shared" ref="G120:G123" si="31">F120-E120</f>
        <v>9</v>
      </c>
      <c r="H120" s="161">
        <f t="shared" ref="H120:H123" si="32">(F120/E120)*100</f>
        <v>131.0344827586207</v>
      </c>
    </row>
    <row r="121" spans="1:8" s="52" customFormat="1" ht="21">
      <c r="A121" s="288" t="s">
        <v>414</v>
      </c>
      <c r="B121" s="163" t="s">
        <v>475</v>
      </c>
      <c r="C121" s="86"/>
      <c r="D121" s="202">
        <v>2576</v>
      </c>
      <c r="E121" s="256">
        <v>0</v>
      </c>
      <c r="F121" s="229"/>
      <c r="G121" s="202">
        <f t="shared" si="31"/>
        <v>0</v>
      </c>
      <c r="H121" s="161"/>
    </row>
    <row r="122" spans="1:8" s="52" customFormat="1" ht="21">
      <c r="A122" s="288">
        <v>2</v>
      </c>
      <c r="B122" s="163" t="s">
        <v>476</v>
      </c>
      <c r="C122" s="86"/>
      <c r="D122" s="202">
        <f>D123+D124</f>
        <v>4099</v>
      </c>
      <c r="E122" s="202">
        <f>E123+E124</f>
        <v>88</v>
      </c>
      <c r="F122" s="229">
        <v>189</v>
      </c>
      <c r="G122" s="202">
        <f t="shared" si="31"/>
        <v>101</v>
      </c>
      <c r="H122" s="161">
        <f t="shared" si="32"/>
        <v>214.77272727272728</v>
      </c>
    </row>
    <row r="123" spans="1:8" s="52" customFormat="1" ht="21">
      <c r="A123" s="288" t="s">
        <v>414</v>
      </c>
      <c r="B123" s="163" t="s">
        <v>477</v>
      </c>
      <c r="C123" s="86"/>
      <c r="D123" s="202"/>
      <c r="E123" s="256">
        <v>88</v>
      </c>
      <c r="F123" s="229">
        <v>189</v>
      </c>
      <c r="G123" s="202">
        <f t="shared" si="31"/>
        <v>101</v>
      </c>
      <c r="H123" s="161">
        <f t="shared" si="32"/>
        <v>214.77272727272728</v>
      </c>
    </row>
    <row r="124" spans="1:8" s="52" customFormat="1" ht="21">
      <c r="A124" s="288" t="s">
        <v>414</v>
      </c>
      <c r="B124" s="163" t="s">
        <v>605</v>
      </c>
      <c r="C124" s="86"/>
      <c r="D124" s="202">
        <v>4099</v>
      </c>
      <c r="E124" s="256">
        <v>0</v>
      </c>
      <c r="F124" s="229"/>
      <c r="G124" s="202">
        <f t="shared" ref="G124:G125" si="33">F124-E124</f>
        <v>0</v>
      </c>
      <c r="H124" s="161"/>
    </row>
    <row r="125" spans="1:8" s="52" customFormat="1" ht="27.6" customHeight="1">
      <c r="A125" s="366" t="s">
        <v>414</v>
      </c>
      <c r="B125" s="367" t="s">
        <v>817</v>
      </c>
      <c r="C125" s="124"/>
      <c r="D125" s="161"/>
      <c r="E125" s="161"/>
      <c r="F125" s="161">
        <v>90022</v>
      </c>
      <c r="G125" s="202">
        <f t="shared" si="33"/>
        <v>90022</v>
      </c>
      <c r="H125" s="161"/>
    </row>
    <row r="126" spans="1:8" s="136" customFormat="1" ht="118.8" customHeight="1">
      <c r="A126" s="437" t="s">
        <v>606</v>
      </c>
      <c r="B126" s="437"/>
      <c r="C126" s="431" t="s">
        <v>689</v>
      </c>
      <c r="D126" s="431"/>
      <c r="E126" s="431"/>
      <c r="F126" s="432" t="s">
        <v>524</v>
      </c>
      <c r="G126" s="432"/>
      <c r="H126" s="432"/>
    </row>
    <row r="127" spans="1:8">
      <c r="B127" s="105"/>
    </row>
    <row r="128" spans="1:8">
      <c r="B128" s="105"/>
    </row>
    <row r="129" spans="2:2">
      <c r="B129" s="105"/>
    </row>
    <row r="130" spans="2:2">
      <c r="B130" s="105"/>
    </row>
    <row r="131" spans="2:2">
      <c r="B131" s="105"/>
    </row>
    <row r="132" spans="2:2">
      <c r="B132" s="105"/>
    </row>
    <row r="133" spans="2:2">
      <c r="B133" s="105"/>
    </row>
    <row r="134" spans="2:2">
      <c r="B134" s="105"/>
    </row>
    <row r="135" spans="2:2">
      <c r="B135" s="105"/>
    </row>
    <row r="136" spans="2:2">
      <c r="B136" s="105"/>
    </row>
    <row r="137" spans="2:2">
      <c r="B137" s="105"/>
    </row>
    <row r="138" spans="2:2">
      <c r="B138" s="105"/>
    </row>
    <row r="139" spans="2:2">
      <c r="B139" s="105"/>
    </row>
    <row r="140" spans="2:2">
      <c r="B140" s="105"/>
    </row>
    <row r="141" spans="2:2">
      <c r="B141" s="105"/>
    </row>
    <row r="142" spans="2:2">
      <c r="B142" s="105"/>
    </row>
    <row r="143" spans="2:2">
      <c r="B143" s="105"/>
    </row>
    <row r="144" spans="2:2">
      <c r="B144" s="105"/>
    </row>
    <row r="145" spans="2:2">
      <c r="B145" s="105"/>
    </row>
    <row r="146" spans="2:2">
      <c r="B146" s="105"/>
    </row>
    <row r="147" spans="2:2">
      <c r="B147" s="105"/>
    </row>
    <row r="148" spans="2:2">
      <c r="B148" s="105"/>
    </row>
    <row r="149" spans="2:2">
      <c r="B149" s="105"/>
    </row>
    <row r="150" spans="2:2">
      <c r="B150" s="105"/>
    </row>
    <row r="151" spans="2:2">
      <c r="B151" s="105"/>
    </row>
    <row r="152" spans="2:2">
      <c r="B152" s="105"/>
    </row>
    <row r="153" spans="2:2">
      <c r="B153" s="105"/>
    </row>
    <row r="154" spans="2:2">
      <c r="B154" s="105"/>
    </row>
    <row r="155" spans="2:2">
      <c r="B155" s="105"/>
    </row>
    <row r="156" spans="2:2">
      <c r="B156" s="105"/>
    </row>
    <row r="157" spans="2:2">
      <c r="B157" s="105"/>
    </row>
    <row r="158" spans="2:2">
      <c r="B158" s="105"/>
    </row>
    <row r="159" spans="2:2">
      <c r="B159" s="105"/>
    </row>
    <row r="160" spans="2:2">
      <c r="B160" s="105"/>
    </row>
    <row r="161" spans="2:2">
      <c r="B161" s="105"/>
    </row>
    <row r="162" spans="2:2">
      <c r="B162" s="105"/>
    </row>
    <row r="163" spans="2:2">
      <c r="B163" s="105"/>
    </row>
    <row r="164" spans="2:2">
      <c r="B164" s="105"/>
    </row>
    <row r="165" spans="2:2">
      <c r="B165" s="105"/>
    </row>
    <row r="166" spans="2:2">
      <c r="B166" s="105"/>
    </row>
    <row r="167" spans="2:2">
      <c r="B167" s="105"/>
    </row>
    <row r="168" spans="2:2">
      <c r="B168" s="105"/>
    </row>
    <row r="169" spans="2:2">
      <c r="B169" s="105"/>
    </row>
    <row r="170" spans="2:2">
      <c r="B170" s="105"/>
    </row>
    <row r="171" spans="2:2">
      <c r="B171" s="105"/>
    </row>
    <row r="172" spans="2:2">
      <c r="B172" s="105"/>
    </row>
    <row r="173" spans="2:2">
      <c r="B173" s="105"/>
    </row>
    <row r="174" spans="2:2">
      <c r="B174" s="105"/>
    </row>
    <row r="175" spans="2:2">
      <c r="B175" s="105"/>
    </row>
    <row r="176" spans="2:2">
      <c r="B176" s="105"/>
    </row>
    <row r="177" spans="2:2">
      <c r="B177" s="105"/>
    </row>
    <row r="178" spans="2:2">
      <c r="B178" s="105"/>
    </row>
    <row r="179" spans="2:2">
      <c r="B179" s="105"/>
    </row>
    <row r="180" spans="2:2">
      <c r="B180" s="105"/>
    </row>
    <row r="181" spans="2:2">
      <c r="B181" s="105"/>
    </row>
    <row r="182" spans="2:2">
      <c r="B182" s="105"/>
    </row>
    <row r="183" spans="2:2">
      <c r="B183" s="105"/>
    </row>
    <row r="184" spans="2:2">
      <c r="B184" s="105"/>
    </row>
    <row r="185" spans="2:2">
      <c r="B185" s="105"/>
    </row>
    <row r="186" spans="2:2">
      <c r="B186" s="105"/>
    </row>
    <row r="187" spans="2:2">
      <c r="B187" s="105"/>
    </row>
    <row r="188" spans="2:2">
      <c r="B188" s="105"/>
    </row>
    <row r="189" spans="2:2">
      <c r="B189" s="105"/>
    </row>
    <row r="190" spans="2:2">
      <c r="B190" s="105"/>
    </row>
    <row r="191" spans="2:2">
      <c r="B191" s="105"/>
    </row>
    <row r="192" spans="2:2">
      <c r="B192" s="105"/>
    </row>
    <row r="193" spans="2:2">
      <c r="B193" s="105"/>
    </row>
    <row r="194" spans="2:2">
      <c r="B194" s="105"/>
    </row>
    <row r="195" spans="2:2">
      <c r="B195" s="105"/>
    </row>
    <row r="196" spans="2:2">
      <c r="B196" s="105"/>
    </row>
    <row r="197" spans="2:2">
      <c r="B197" s="105"/>
    </row>
    <row r="198" spans="2:2">
      <c r="B198" s="105"/>
    </row>
    <row r="199" spans="2:2">
      <c r="B199" s="105"/>
    </row>
    <row r="200" spans="2:2">
      <c r="B200" s="105"/>
    </row>
    <row r="201" spans="2:2">
      <c r="B201" s="105"/>
    </row>
    <row r="202" spans="2:2">
      <c r="B202" s="105"/>
    </row>
    <row r="203" spans="2:2">
      <c r="B203" s="105"/>
    </row>
    <row r="204" spans="2:2">
      <c r="B204" s="105"/>
    </row>
    <row r="205" spans="2:2">
      <c r="B205" s="105"/>
    </row>
    <row r="206" spans="2:2">
      <c r="B206" s="105"/>
    </row>
    <row r="207" spans="2:2">
      <c r="B207" s="105"/>
    </row>
    <row r="208" spans="2:2">
      <c r="B208" s="105"/>
    </row>
    <row r="209" spans="2:2">
      <c r="B209" s="105"/>
    </row>
    <row r="210" spans="2:2">
      <c r="B210" s="105"/>
    </row>
    <row r="211" spans="2:2">
      <c r="B211" s="105"/>
    </row>
    <row r="212" spans="2:2">
      <c r="B212" s="105"/>
    </row>
    <row r="213" spans="2:2">
      <c r="B213" s="105"/>
    </row>
    <row r="214" spans="2:2">
      <c r="B214" s="105"/>
    </row>
    <row r="215" spans="2:2">
      <c r="B215" s="105"/>
    </row>
    <row r="216" spans="2:2">
      <c r="B216" s="105"/>
    </row>
    <row r="217" spans="2:2">
      <c r="B217" s="105"/>
    </row>
    <row r="218" spans="2:2">
      <c r="B218" s="105"/>
    </row>
    <row r="219" spans="2:2">
      <c r="B219" s="105"/>
    </row>
    <row r="220" spans="2:2">
      <c r="B220" s="105"/>
    </row>
    <row r="221" spans="2:2">
      <c r="B221" s="105"/>
    </row>
    <row r="222" spans="2:2">
      <c r="B222" s="105"/>
    </row>
    <row r="223" spans="2:2">
      <c r="B223" s="105"/>
    </row>
    <row r="224" spans="2:2">
      <c r="B224" s="105"/>
    </row>
    <row r="225" spans="2:2">
      <c r="B225" s="105"/>
    </row>
    <row r="226" spans="2:2">
      <c r="B226" s="105"/>
    </row>
    <row r="227" spans="2:2">
      <c r="B227" s="105"/>
    </row>
    <row r="228" spans="2:2">
      <c r="B228" s="105"/>
    </row>
    <row r="229" spans="2:2">
      <c r="B229" s="105"/>
    </row>
    <row r="230" spans="2:2">
      <c r="B230" s="105"/>
    </row>
    <row r="231" spans="2:2">
      <c r="B231" s="105"/>
    </row>
    <row r="232" spans="2:2">
      <c r="B232" s="105"/>
    </row>
    <row r="233" spans="2:2">
      <c r="B233" s="105"/>
    </row>
    <row r="234" spans="2:2">
      <c r="B234" s="105"/>
    </row>
    <row r="235" spans="2:2">
      <c r="B235" s="105"/>
    </row>
    <row r="236" spans="2:2">
      <c r="B236" s="105"/>
    </row>
    <row r="237" spans="2:2">
      <c r="B237" s="105"/>
    </row>
    <row r="238" spans="2:2">
      <c r="B238" s="105"/>
    </row>
    <row r="239" spans="2:2">
      <c r="B239" s="105"/>
    </row>
    <row r="240" spans="2:2">
      <c r="B240" s="105"/>
    </row>
    <row r="241" spans="2:2">
      <c r="B241" s="105"/>
    </row>
    <row r="242" spans="2:2">
      <c r="B242" s="105"/>
    </row>
    <row r="243" spans="2:2">
      <c r="B243" s="105"/>
    </row>
  </sheetData>
  <sortState ref="A81:H99">
    <sortCondition ref="B81:B99"/>
  </sortState>
  <mergeCells count="28">
    <mergeCell ref="A70:B70"/>
    <mergeCell ref="A71:B71"/>
    <mergeCell ref="A27:B27"/>
    <mergeCell ref="A28:B28"/>
    <mergeCell ref="A32:B32"/>
    <mergeCell ref="B2:H2"/>
    <mergeCell ref="A6:B6"/>
    <mergeCell ref="A7:B7"/>
    <mergeCell ref="A8:B8"/>
    <mergeCell ref="A21:B21"/>
    <mergeCell ref="A4:B4"/>
    <mergeCell ref="A5:B5"/>
    <mergeCell ref="C126:E126"/>
    <mergeCell ref="F126:H126"/>
    <mergeCell ref="A72:B72"/>
    <mergeCell ref="A73:B73"/>
    <mergeCell ref="A74:B74"/>
    <mergeCell ref="A126:B126"/>
    <mergeCell ref="A113:B113"/>
    <mergeCell ref="A114:B114"/>
    <mergeCell ref="A115:B115"/>
    <mergeCell ref="A117:B117"/>
    <mergeCell ref="A118:B118"/>
    <mergeCell ref="A75:B75"/>
    <mergeCell ref="A77:B77"/>
    <mergeCell ref="A97:B97"/>
    <mergeCell ref="A99:B99"/>
    <mergeCell ref="A106:B106"/>
  </mergeCells>
  <printOptions horizontalCentered="1"/>
  <pageMargins left="0.59055118110236227" right="0.59055118110236227" top="0.98425196850393704" bottom="0.59055118110236227" header="0" footer="0"/>
  <pageSetup paperSize="9" scale="85" fitToHeight="0" orientation="landscape" blackAndWhite="1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I184"/>
  <sheetViews>
    <sheetView topLeftCell="A4" zoomScale="67" zoomScaleNormal="67" zoomScaleSheetLayoutView="55" workbookViewId="0">
      <selection activeCell="D9" sqref="D9"/>
    </sheetView>
  </sheetViews>
  <sheetFormatPr defaultColWidth="9.109375" defaultRowHeight="18"/>
  <cols>
    <col min="1" max="1" width="80.109375" style="305" customWidth="1"/>
    <col min="2" max="2" width="12.6640625" style="306" customWidth="1"/>
    <col min="3" max="4" width="25.6640625" style="306" customWidth="1"/>
    <col min="5" max="6" width="22.88671875" style="306" customWidth="1"/>
    <col min="7" max="8" width="23.109375" style="306" customWidth="1"/>
    <col min="9" max="9" width="9.5546875" style="305" customWidth="1"/>
    <col min="10" max="10" width="9.88671875" style="305" customWidth="1"/>
    <col min="11" max="16384" width="9.109375" style="305"/>
  </cols>
  <sheetData>
    <row r="1" spans="1:8" ht="20.399999999999999">
      <c r="H1" s="313" t="s">
        <v>342</v>
      </c>
    </row>
    <row r="2" spans="1:8" ht="39" customHeight="1">
      <c r="A2" s="393" t="s">
        <v>125</v>
      </c>
      <c r="B2" s="393"/>
      <c r="C2" s="393"/>
      <c r="D2" s="393"/>
      <c r="E2" s="393"/>
      <c r="F2" s="393"/>
      <c r="G2" s="393"/>
      <c r="H2" s="393"/>
    </row>
    <row r="3" spans="1:8" ht="30" customHeight="1">
      <c r="A3" s="456" t="s">
        <v>315</v>
      </c>
      <c r="B3" s="456"/>
      <c r="C3" s="456"/>
      <c r="D3" s="456"/>
      <c r="E3" s="456"/>
      <c r="F3" s="456"/>
      <c r="G3" s="456"/>
      <c r="H3" s="456"/>
    </row>
    <row r="4" spans="1:8" ht="58.5" customHeight="1">
      <c r="A4" s="454" t="s">
        <v>152</v>
      </c>
      <c r="B4" s="389" t="s">
        <v>18</v>
      </c>
      <c r="C4" s="389" t="s">
        <v>134</v>
      </c>
      <c r="D4" s="389"/>
      <c r="E4" s="390" t="s">
        <v>695</v>
      </c>
      <c r="F4" s="390"/>
      <c r="G4" s="390"/>
      <c r="H4" s="390"/>
    </row>
    <row r="5" spans="1:8" ht="68.25" customHeight="1">
      <c r="A5" s="455"/>
      <c r="B5" s="389"/>
      <c r="C5" s="284" t="s">
        <v>703</v>
      </c>
      <c r="D5" s="284" t="s">
        <v>697</v>
      </c>
      <c r="E5" s="284" t="s">
        <v>143</v>
      </c>
      <c r="F5" s="284" t="s">
        <v>139</v>
      </c>
      <c r="G5" s="96" t="s">
        <v>149</v>
      </c>
      <c r="H5" s="96" t="s">
        <v>150</v>
      </c>
    </row>
    <row r="6" spans="1:8" ht="33.75" customHeight="1">
      <c r="A6" s="283">
        <v>1</v>
      </c>
      <c r="B6" s="284">
        <v>2</v>
      </c>
      <c r="C6" s="283">
        <v>3</v>
      </c>
      <c r="D6" s="284">
        <v>4</v>
      </c>
      <c r="E6" s="283">
        <v>5</v>
      </c>
      <c r="F6" s="284">
        <v>6</v>
      </c>
      <c r="G6" s="283">
        <v>7</v>
      </c>
      <c r="H6" s="284">
        <v>8</v>
      </c>
    </row>
    <row r="7" spans="1:8" s="20" customFormat="1" ht="68.25" customHeight="1">
      <c r="A7" s="285" t="s">
        <v>69</v>
      </c>
      <c r="B7" s="38">
        <v>4000</v>
      </c>
      <c r="C7" s="335">
        <f>SUM(C8:C13)</f>
        <v>21962</v>
      </c>
      <c r="D7" s="335">
        <f>SUM(D8:D13)</f>
        <v>114705</v>
      </c>
      <c r="E7" s="335">
        <f t="shared" ref="E7:F7" si="0">SUM(E8:E13)</f>
        <v>193118</v>
      </c>
      <c r="F7" s="335">
        <f t="shared" si="0"/>
        <v>114705</v>
      </c>
      <c r="G7" s="335">
        <f>IF(F7="(    )",0,F7)-IF(E7="(    )",0,E7)</f>
        <v>-78413</v>
      </c>
      <c r="H7" s="335">
        <f t="shared" ref="H7" si="1">IF(IF(E7="(    )",0,E7)=0,0,IF(F7="(    )",0,F7)/IF(E7="(    )",0,E7))*100</f>
        <v>59.396327633881874</v>
      </c>
    </row>
    <row r="8" spans="1:8" ht="54.75" customHeight="1">
      <c r="A8" s="300" t="s">
        <v>1</v>
      </c>
      <c r="B8" s="283" t="s">
        <v>128</v>
      </c>
      <c r="C8" s="336">
        <f>'Розшифровка до капівидатків'!C7</f>
        <v>0</v>
      </c>
      <c r="D8" s="336">
        <f>'Розшифровка до капівидатків'!E7</f>
        <v>2935</v>
      </c>
      <c r="E8" s="336">
        <f>'Розшифровка до капівидатків'!D7</f>
        <v>2781</v>
      </c>
      <c r="F8" s="336">
        <f>'Розшифровка до капівидатків'!E7</f>
        <v>2935</v>
      </c>
      <c r="G8" s="336">
        <f t="shared" ref="G8:G13" si="2">IF(F8="(    )",0,F8)-IF(E8="(    )",0,E8)</f>
        <v>154</v>
      </c>
      <c r="H8" s="336">
        <f t="shared" ref="H8:H13" si="3">IF(IF(E8="(    )",0,E8)=0,0,IF(F8="(    )",0,F8)/IF(E8="(    )",0,E8))*100</f>
        <v>105.53757641136281</v>
      </c>
    </row>
    <row r="9" spans="1:8" ht="54.75" customHeight="1">
      <c r="A9" s="300" t="s">
        <v>2</v>
      </c>
      <c r="B9" s="283">
        <v>4020</v>
      </c>
      <c r="C9" s="336">
        <f>'Розшифровка до капівидатків'!C10</f>
        <v>11839</v>
      </c>
      <c r="D9" s="336">
        <f>'Розшифровка до капівидатків'!E10</f>
        <v>97337</v>
      </c>
      <c r="E9" s="336">
        <f>'Розшифровка до капівидатків'!D10</f>
        <v>134851</v>
      </c>
      <c r="F9" s="336">
        <f>D9</f>
        <v>97337</v>
      </c>
      <c r="G9" s="336">
        <f t="shared" si="2"/>
        <v>-37514</v>
      </c>
      <c r="H9" s="336">
        <f t="shared" si="3"/>
        <v>72.181148081957119</v>
      </c>
    </row>
    <row r="10" spans="1:8" ht="54.75" customHeight="1">
      <c r="A10" s="300" t="s">
        <v>28</v>
      </c>
      <c r="B10" s="283">
        <v>4030</v>
      </c>
      <c r="C10" s="336">
        <v>0</v>
      </c>
      <c r="D10" s="336">
        <v>0</v>
      </c>
      <c r="E10" s="336">
        <v>0</v>
      </c>
      <c r="F10" s="336">
        <f t="shared" ref="F10:F13" si="4">D10</f>
        <v>0</v>
      </c>
      <c r="G10" s="336">
        <f t="shared" si="2"/>
        <v>0</v>
      </c>
      <c r="H10" s="336">
        <f t="shared" si="3"/>
        <v>0</v>
      </c>
    </row>
    <row r="11" spans="1:8" ht="54.75" customHeight="1">
      <c r="A11" s="300" t="s">
        <v>3</v>
      </c>
      <c r="B11" s="283">
        <v>4040</v>
      </c>
      <c r="C11" s="336">
        <f>'Розшифровка до капівидатків'!C46</f>
        <v>5</v>
      </c>
      <c r="D11" s="336">
        <f>'Розшифровка до капівидатків'!E46</f>
        <v>15</v>
      </c>
      <c r="E11" s="336">
        <f>'Розшифровка до капівидатків'!D46</f>
        <v>10</v>
      </c>
      <c r="F11" s="336">
        <f t="shared" si="4"/>
        <v>15</v>
      </c>
      <c r="G11" s="336">
        <f t="shared" si="2"/>
        <v>5</v>
      </c>
      <c r="H11" s="336">
        <f t="shared" si="3"/>
        <v>150</v>
      </c>
    </row>
    <row r="12" spans="1:8" ht="54.75" customHeight="1">
      <c r="A12" s="300" t="s">
        <v>60</v>
      </c>
      <c r="B12" s="283">
        <v>4050</v>
      </c>
      <c r="C12" s="336">
        <f>'Розшифровка до капівидатків'!C40</f>
        <v>10118</v>
      </c>
      <c r="D12" s="336">
        <f>'Розшифровка до капівидатків'!E40</f>
        <v>14418</v>
      </c>
      <c r="E12" s="336">
        <f>'Розшифровка до капівидатків'!D40</f>
        <v>6820</v>
      </c>
      <c r="F12" s="336">
        <f t="shared" si="4"/>
        <v>14418</v>
      </c>
      <c r="G12" s="336">
        <f>IF(F12="(    )",0,F12)-IF(D12="(    )",0,D12)</f>
        <v>0</v>
      </c>
      <c r="H12" s="336">
        <f>IF(IF(D12="(    )",0,D12)=0,0,IF(F12="(    )",0,F12)/IF(D12="(    )",0,D12))*100</f>
        <v>100</v>
      </c>
    </row>
    <row r="13" spans="1:8" ht="54.75" customHeight="1">
      <c r="A13" s="300" t="s">
        <v>200</v>
      </c>
      <c r="B13" s="283">
        <v>4060</v>
      </c>
      <c r="C13" s="336">
        <f>'Розшифровка до капівидатків'!C48</f>
        <v>0</v>
      </c>
      <c r="D13" s="336">
        <f>'Розшифровка до капівидатків'!E48</f>
        <v>0</v>
      </c>
      <c r="E13" s="336">
        <f>'Розшифровка до капівидатків'!D48</f>
        <v>48656</v>
      </c>
      <c r="F13" s="336">
        <f t="shared" si="4"/>
        <v>0</v>
      </c>
      <c r="G13" s="336">
        <f t="shared" si="2"/>
        <v>-48656</v>
      </c>
      <c r="H13" s="336">
        <f t="shared" si="3"/>
        <v>0</v>
      </c>
    </row>
    <row r="14" spans="1:8" ht="21">
      <c r="A14" s="52"/>
      <c r="B14" s="52"/>
      <c r="C14" s="52"/>
      <c r="D14" s="52"/>
      <c r="E14" s="52"/>
      <c r="F14" s="52"/>
      <c r="G14" s="52"/>
      <c r="H14" s="52"/>
    </row>
    <row r="15" spans="1:8" ht="21">
      <c r="A15" s="52"/>
      <c r="B15" s="52"/>
      <c r="C15" s="52"/>
      <c r="D15" s="52"/>
      <c r="E15" s="52"/>
      <c r="F15" s="52"/>
      <c r="G15" s="52"/>
      <c r="H15" s="52"/>
    </row>
    <row r="16" spans="1:8" ht="19.5" customHeight="1">
      <c r="A16" s="299"/>
      <c r="B16" s="52"/>
      <c r="C16" s="52"/>
      <c r="D16" s="52"/>
      <c r="E16" s="52"/>
      <c r="F16" s="52"/>
      <c r="G16" s="52"/>
      <c r="H16" s="52"/>
    </row>
    <row r="17" spans="1:9" s="191" customFormat="1" ht="28.5" customHeight="1">
      <c r="A17" s="457" t="s">
        <v>606</v>
      </c>
      <c r="B17" s="457"/>
      <c r="C17" s="458" t="s">
        <v>689</v>
      </c>
      <c r="D17" s="458"/>
      <c r="E17" s="458"/>
      <c r="F17" s="459" t="s">
        <v>524</v>
      </c>
      <c r="G17" s="459"/>
      <c r="H17" s="459"/>
      <c r="I17" s="254"/>
    </row>
    <row r="18" spans="1:9" s="106" customFormat="1" ht="37.5" customHeight="1">
      <c r="A18" s="281"/>
      <c r="C18" s="395"/>
      <c r="D18" s="395"/>
      <c r="F18" s="395"/>
      <c r="G18" s="395"/>
    </row>
    <row r="19" spans="1:9">
      <c r="A19" s="105"/>
    </row>
    <row r="20" spans="1:9">
      <c r="A20" s="105"/>
    </row>
    <row r="21" spans="1:9">
      <c r="A21" s="105"/>
    </row>
    <row r="22" spans="1:9">
      <c r="A22" s="105"/>
    </row>
    <row r="23" spans="1:9">
      <c r="A23" s="105"/>
    </row>
    <row r="24" spans="1:9">
      <c r="A24" s="105"/>
    </row>
    <row r="25" spans="1:9">
      <c r="A25" s="105"/>
    </row>
    <row r="26" spans="1:9">
      <c r="A26" s="105"/>
    </row>
    <row r="27" spans="1:9">
      <c r="A27" s="105"/>
    </row>
    <row r="28" spans="1:9">
      <c r="A28" s="105"/>
    </row>
    <row r="29" spans="1:9">
      <c r="A29" s="105"/>
    </row>
    <row r="30" spans="1:9">
      <c r="A30" s="105"/>
    </row>
    <row r="31" spans="1:9">
      <c r="A31" s="105"/>
    </row>
    <row r="32" spans="1:9">
      <c r="A32" s="105"/>
    </row>
    <row r="33" spans="1:1">
      <c r="A33" s="105"/>
    </row>
    <row r="34" spans="1:1">
      <c r="A34" s="105"/>
    </row>
    <row r="35" spans="1:1">
      <c r="A35" s="105"/>
    </row>
    <row r="36" spans="1:1">
      <c r="A36" s="105"/>
    </row>
    <row r="37" spans="1:1">
      <c r="A37" s="105"/>
    </row>
    <row r="38" spans="1:1">
      <c r="A38" s="105"/>
    </row>
    <row r="39" spans="1:1">
      <c r="A39" s="105"/>
    </row>
    <row r="40" spans="1:1">
      <c r="A40" s="105"/>
    </row>
    <row r="41" spans="1:1">
      <c r="A41" s="105"/>
    </row>
    <row r="42" spans="1:1">
      <c r="A42" s="105"/>
    </row>
    <row r="43" spans="1:1">
      <c r="A43" s="105"/>
    </row>
    <row r="44" spans="1:1">
      <c r="A44" s="105"/>
    </row>
    <row r="45" spans="1:1">
      <c r="A45" s="105"/>
    </row>
    <row r="46" spans="1:1">
      <c r="A46" s="105"/>
    </row>
    <row r="47" spans="1:1">
      <c r="A47" s="105"/>
    </row>
    <row r="48" spans="1:1">
      <c r="A48" s="105"/>
    </row>
    <row r="49" spans="1:1">
      <c r="A49" s="105"/>
    </row>
    <row r="50" spans="1:1">
      <c r="A50" s="105"/>
    </row>
    <row r="51" spans="1:1">
      <c r="A51" s="105"/>
    </row>
    <row r="52" spans="1:1">
      <c r="A52" s="105"/>
    </row>
    <row r="53" spans="1:1">
      <c r="A53" s="105"/>
    </row>
    <row r="54" spans="1:1">
      <c r="A54" s="105"/>
    </row>
    <row r="55" spans="1:1">
      <c r="A55" s="105"/>
    </row>
    <row r="56" spans="1:1">
      <c r="A56" s="105"/>
    </row>
    <row r="57" spans="1:1">
      <c r="A57" s="105"/>
    </row>
    <row r="58" spans="1:1">
      <c r="A58" s="105"/>
    </row>
    <row r="59" spans="1:1">
      <c r="A59" s="105"/>
    </row>
    <row r="60" spans="1:1">
      <c r="A60" s="105"/>
    </row>
    <row r="61" spans="1:1">
      <c r="A61" s="105"/>
    </row>
    <row r="62" spans="1:1">
      <c r="A62" s="105"/>
    </row>
    <row r="63" spans="1:1">
      <c r="A63" s="105"/>
    </row>
    <row r="64" spans="1:1">
      <c r="A64" s="105"/>
    </row>
    <row r="65" spans="1:1">
      <c r="A65" s="105"/>
    </row>
    <row r="66" spans="1:1">
      <c r="A66" s="105"/>
    </row>
    <row r="67" spans="1:1">
      <c r="A67" s="105"/>
    </row>
    <row r="68" spans="1:1">
      <c r="A68" s="105"/>
    </row>
    <row r="69" spans="1:1">
      <c r="A69" s="105"/>
    </row>
    <row r="70" spans="1:1">
      <c r="A70" s="105"/>
    </row>
    <row r="71" spans="1:1">
      <c r="A71" s="105"/>
    </row>
    <row r="72" spans="1:1">
      <c r="A72" s="105"/>
    </row>
    <row r="73" spans="1:1">
      <c r="A73" s="105"/>
    </row>
    <row r="74" spans="1:1">
      <c r="A74" s="105"/>
    </row>
    <row r="75" spans="1:1">
      <c r="A75" s="105"/>
    </row>
    <row r="76" spans="1:1">
      <c r="A76" s="105"/>
    </row>
    <row r="77" spans="1:1">
      <c r="A77" s="105"/>
    </row>
    <row r="78" spans="1:1">
      <c r="A78" s="105"/>
    </row>
    <row r="79" spans="1:1">
      <c r="A79" s="105"/>
    </row>
    <row r="80" spans="1:1">
      <c r="A80" s="105"/>
    </row>
    <row r="81" spans="1:1">
      <c r="A81" s="105"/>
    </row>
    <row r="82" spans="1:1">
      <c r="A82" s="105"/>
    </row>
    <row r="83" spans="1:1">
      <c r="A83" s="105"/>
    </row>
    <row r="84" spans="1:1">
      <c r="A84" s="105"/>
    </row>
    <row r="85" spans="1:1">
      <c r="A85" s="105"/>
    </row>
    <row r="86" spans="1:1">
      <c r="A86" s="105"/>
    </row>
    <row r="87" spans="1:1">
      <c r="A87" s="105"/>
    </row>
    <row r="88" spans="1:1">
      <c r="A88" s="105"/>
    </row>
    <row r="89" spans="1:1">
      <c r="A89" s="105"/>
    </row>
    <row r="90" spans="1:1">
      <c r="A90" s="105"/>
    </row>
    <row r="91" spans="1:1">
      <c r="A91" s="105"/>
    </row>
    <row r="92" spans="1:1">
      <c r="A92" s="105"/>
    </row>
    <row r="93" spans="1:1">
      <c r="A93" s="105"/>
    </row>
    <row r="94" spans="1:1">
      <c r="A94" s="105"/>
    </row>
    <row r="95" spans="1:1">
      <c r="A95" s="105"/>
    </row>
    <row r="96" spans="1:1">
      <c r="A96" s="105"/>
    </row>
    <row r="97" spans="1:1">
      <c r="A97" s="105"/>
    </row>
    <row r="98" spans="1:1">
      <c r="A98" s="105"/>
    </row>
    <row r="99" spans="1:1">
      <c r="A99" s="105"/>
    </row>
    <row r="100" spans="1:1">
      <c r="A100" s="105"/>
    </row>
    <row r="101" spans="1:1">
      <c r="A101" s="105"/>
    </row>
    <row r="102" spans="1:1">
      <c r="A102" s="105"/>
    </row>
    <row r="103" spans="1:1">
      <c r="A103" s="105"/>
    </row>
    <row r="104" spans="1:1">
      <c r="A104" s="105"/>
    </row>
    <row r="105" spans="1:1">
      <c r="A105" s="105"/>
    </row>
    <row r="106" spans="1:1">
      <c r="A106" s="105"/>
    </row>
    <row r="107" spans="1:1">
      <c r="A107" s="105"/>
    </row>
    <row r="108" spans="1:1">
      <c r="A108" s="105"/>
    </row>
    <row r="109" spans="1:1">
      <c r="A109" s="105"/>
    </row>
    <row r="110" spans="1:1">
      <c r="A110" s="105"/>
    </row>
    <row r="111" spans="1:1">
      <c r="A111" s="105"/>
    </row>
    <row r="112" spans="1:1">
      <c r="A112" s="105"/>
    </row>
    <row r="113" spans="1:1">
      <c r="A113" s="105"/>
    </row>
    <row r="114" spans="1:1">
      <c r="A114" s="105"/>
    </row>
    <row r="115" spans="1:1">
      <c r="A115" s="105"/>
    </row>
    <row r="116" spans="1:1">
      <c r="A116" s="105"/>
    </row>
    <row r="117" spans="1:1">
      <c r="A117" s="105"/>
    </row>
    <row r="118" spans="1:1">
      <c r="A118" s="105"/>
    </row>
    <row r="119" spans="1:1">
      <c r="A119" s="105"/>
    </row>
    <row r="120" spans="1:1">
      <c r="A120" s="105"/>
    </row>
    <row r="121" spans="1:1">
      <c r="A121" s="105"/>
    </row>
    <row r="122" spans="1:1">
      <c r="A122" s="105"/>
    </row>
    <row r="123" spans="1:1">
      <c r="A123" s="105"/>
    </row>
    <row r="124" spans="1:1">
      <c r="A124" s="105"/>
    </row>
    <row r="125" spans="1:1">
      <c r="A125" s="105"/>
    </row>
    <row r="126" spans="1:1">
      <c r="A126" s="105"/>
    </row>
    <row r="127" spans="1:1">
      <c r="A127" s="105"/>
    </row>
    <row r="128" spans="1:1">
      <c r="A128" s="105"/>
    </row>
    <row r="129" spans="1:1">
      <c r="A129" s="105"/>
    </row>
    <row r="130" spans="1:1">
      <c r="A130" s="105"/>
    </row>
    <row r="131" spans="1:1">
      <c r="A131" s="105"/>
    </row>
    <row r="132" spans="1:1">
      <c r="A132" s="105"/>
    </row>
    <row r="133" spans="1:1">
      <c r="A133" s="105"/>
    </row>
    <row r="134" spans="1:1">
      <c r="A134" s="105"/>
    </row>
    <row r="135" spans="1:1">
      <c r="A135" s="105"/>
    </row>
    <row r="136" spans="1:1">
      <c r="A136" s="105"/>
    </row>
    <row r="137" spans="1:1">
      <c r="A137" s="105"/>
    </row>
    <row r="138" spans="1:1">
      <c r="A138" s="105"/>
    </row>
    <row r="139" spans="1:1">
      <c r="A139" s="105"/>
    </row>
    <row r="140" spans="1:1">
      <c r="A140" s="105"/>
    </row>
    <row r="141" spans="1:1">
      <c r="A141" s="105"/>
    </row>
    <row r="142" spans="1:1">
      <c r="A142" s="105"/>
    </row>
    <row r="143" spans="1:1">
      <c r="A143" s="105"/>
    </row>
    <row r="144" spans="1:1">
      <c r="A144" s="105"/>
    </row>
    <row r="145" spans="1:1">
      <c r="A145" s="105"/>
    </row>
    <row r="146" spans="1:1">
      <c r="A146" s="105"/>
    </row>
    <row r="147" spans="1:1">
      <c r="A147" s="105"/>
    </row>
    <row r="148" spans="1:1">
      <c r="A148" s="105"/>
    </row>
    <row r="149" spans="1:1">
      <c r="A149" s="105"/>
    </row>
    <row r="150" spans="1:1">
      <c r="A150" s="105"/>
    </row>
    <row r="151" spans="1:1">
      <c r="A151" s="105"/>
    </row>
    <row r="152" spans="1:1">
      <c r="A152" s="105"/>
    </row>
    <row r="153" spans="1:1">
      <c r="A153" s="105"/>
    </row>
    <row r="154" spans="1:1">
      <c r="A154" s="105"/>
    </row>
    <row r="155" spans="1:1">
      <c r="A155" s="105"/>
    </row>
    <row r="156" spans="1:1">
      <c r="A156" s="105"/>
    </row>
    <row r="157" spans="1:1">
      <c r="A157" s="105"/>
    </row>
    <row r="158" spans="1:1">
      <c r="A158" s="105"/>
    </row>
    <row r="159" spans="1:1">
      <c r="A159" s="105"/>
    </row>
    <row r="160" spans="1:1">
      <c r="A160" s="105"/>
    </row>
    <row r="161" spans="1:1">
      <c r="A161" s="105"/>
    </row>
    <row r="162" spans="1:1">
      <c r="A162" s="105"/>
    </row>
    <row r="163" spans="1:1">
      <c r="A163" s="105"/>
    </row>
    <row r="164" spans="1:1">
      <c r="A164" s="105"/>
    </row>
    <row r="165" spans="1:1">
      <c r="A165" s="105"/>
    </row>
    <row r="166" spans="1:1">
      <c r="A166" s="105"/>
    </row>
    <row r="167" spans="1:1">
      <c r="A167" s="105"/>
    </row>
    <row r="168" spans="1:1">
      <c r="A168" s="105"/>
    </row>
    <row r="169" spans="1:1">
      <c r="A169" s="105"/>
    </row>
    <row r="170" spans="1:1">
      <c r="A170" s="105"/>
    </row>
    <row r="171" spans="1:1">
      <c r="A171" s="105"/>
    </row>
    <row r="172" spans="1:1">
      <c r="A172" s="105"/>
    </row>
    <row r="173" spans="1:1">
      <c r="A173" s="105"/>
    </row>
    <row r="174" spans="1:1">
      <c r="A174" s="105"/>
    </row>
    <row r="175" spans="1:1">
      <c r="A175" s="105"/>
    </row>
    <row r="176" spans="1:1">
      <c r="A176" s="105"/>
    </row>
    <row r="177" spans="1:1">
      <c r="A177" s="105"/>
    </row>
    <row r="178" spans="1:1">
      <c r="A178" s="105"/>
    </row>
    <row r="179" spans="1:1">
      <c r="A179" s="105"/>
    </row>
    <row r="180" spans="1:1">
      <c r="A180" s="105"/>
    </row>
    <row r="181" spans="1:1">
      <c r="A181" s="105"/>
    </row>
    <row r="182" spans="1:1">
      <c r="A182" s="105"/>
    </row>
    <row r="183" spans="1:1">
      <c r="A183" s="105"/>
    </row>
    <row r="184" spans="1:1">
      <c r="A184" s="105"/>
    </row>
  </sheetData>
  <mergeCells count="11">
    <mergeCell ref="A4:A5"/>
    <mergeCell ref="A2:H2"/>
    <mergeCell ref="B4:B5"/>
    <mergeCell ref="A3:H3"/>
    <mergeCell ref="C18:D18"/>
    <mergeCell ref="C4:D4"/>
    <mergeCell ref="E4:H4"/>
    <mergeCell ref="F18:G18"/>
    <mergeCell ref="A17:B17"/>
    <mergeCell ref="C17:E17"/>
    <mergeCell ref="F17:H17"/>
  </mergeCells>
  <phoneticPr fontId="0" type="noConversion"/>
  <printOptions horizontalCentered="1"/>
  <pageMargins left="0.59055118110236227" right="0.59055118110236227" top="0.98425196850393704" bottom="0.59055118110236227" header="0" footer="0"/>
  <pageSetup paperSize="9" scale="57" firstPageNumber="9" orientation="landscape" blackAndWhite="1" useFirstPageNumber="1" r:id="rId1"/>
  <headerFooter alignWithMargins="0"/>
  <ignoredErrors>
    <ignoredError sqref="B8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2:I219"/>
  <sheetViews>
    <sheetView topLeftCell="A3" zoomScale="60" zoomScaleNormal="60" zoomScaleSheetLayoutView="87" workbookViewId="0">
      <selection activeCell="N10" sqref="N10"/>
    </sheetView>
  </sheetViews>
  <sheetFormatPr defaultColWidth="9.109375" defaultRowHeight="18"/>
  <cols>
    <col min="1" max="1" width="67.88671875" style="305" customWidth="1"/>
    <col min="2" max="2" width="16" style="306" customWidth="1"/>
    <col min="3" max="3" width="20.44140625" style="239" customWidth="1"/>
    <col min="4" max="4" width="20.44140625" style="242" customWidth="1"/>
    <col min="5" max="5" width="20.44140625" style="306" customWidth="1"/>
    <col min="6" max="6" width="16.44140625" style="306" customWidth="1"/>
    <col min="7" max="7" width="18.33203125" style="306" customWidth="1"/>
    <col min="8" max="8" width="26.6640625" style="305" hidden="1" customWidth="1"/>
    <col min="9" max="16384" width="9.109375" style="305"/>
  </cols>
  <sheetData>
    <row r="2" spans="1:9" ht="33.75" customHeight="1">
      <c r="A2" s="461" t="s">
        <v>399</v>
      </c>
      <c r="B2" s="461"/>
      <c r="C2" s="461"/>
      <c r="D2" s="461"/>
      <c r="E2" s="461"/>
      <c r="F2" s="461"/>
      <c r="G2" s="461"/>
    </row>
    <row r="3" spans="1:9" ht="20.399999999999999" customHeight="1">
      <c r="A3" s="286"/>
      <c r="B3" s="90"/>
      <c r="C3" s="98"/>
      <c r="D3" s="26"/>
      <c r="E3" s="286"/>
      <c r="F3" s="286"/>
      <c r="G3" s="119" t="s">
        <v>423</v>
      </c>
    </row>
    <row r="4" spans="1:9" ht="47.4" customHeight="1">
      <c r="A4" s="314" t="s">
        <v>152</v>
      </c>
      <c r="B4" s="93" t="s">
        <v>18</v>
      </c>
      <c r="C4" s="339" t="s">
        <v>706</v>
      </c>
      <c r="D4" s="340" t="s">
        <v>707</v>
      </c>
      <c r="E4" s="93" t="s">
        <v>708</v>
      </c>
      <c r="F4" s="93" t="s">
        <v>410</v>
      </c>
      <c r="G4" s="94" t="s">
        <v>421</v>
      </c>
      <c r="H4" s="266" t="s">
        <v>688</v>
      </c>
    </row>
    <row r="5" spans="1:9" ht="23.25" customHeight="1">
      <c r="A5" s="288">
        <v>1</v>
      </c>
      <c r="B5" s="304">
        <v>2</v>
      </c>
      <c r="C5" s="255">
        <v>3</v>
      </c>
      <c r="D5" s="255">
        <v>4</v>
      </c>
      <c r="E5" s="304">
        <v>5</v>
      </c>
      <c r="F5" s="304">
        <v>6</v>
      </c>
      <c r="G5" s="304">
        <v>7</v>
      </c>
      <c r="H5" s="267"/>
    </row>
    <row r="6" spans="1:9" s="137" customFormat="1" ht="39" customHeight="1">
      <c r="A6" s="297" t="s">
        <v>69</v>
      </c>
      <c r="B6" s="295"/>
      <c r="C6" s="205">
        <f>C7+C10+C40+C46+C48</f>
        <v>21962</v>
      </c>
      <c r="D6" s="205">
        <f>D7+D10+D40+D46+D48</f>
        <v>193118</v>
      </c>
      <c r="E6" s="205">
        <f>E7+E10+E40+E46+E48</f>
        <v>114705</v>
      </c>
      <c r="F6" s="205">
        <f>E6-D6</f>
        <v>-78413</v>
      </c>
      <c r="G6" s="224">
        <f>(E6/D6)*100</f>
        <v>59.396327633881874</v>
      </c>
      <c r="H6" s="176">
        <f>H24+H42+H44</f>
        <v>2000</v>
      </c>
    </row>
    <row r="7" spans="1:9" s="137" customFormat="1" ht="33" customHeight="1">
      <c r="A7" s="297" t="s">
        <v>390</v>
      </c>
      <c r="B7" s="295">
        <v>4010</v>
      </c>
      <c r="C7" s="205">
        <f>C9</f>
        <v>0</v>
      </c>
      <c r="D7" s="205">
        <f>D8+D9</f>
        <v>2781</v>
      </c>
      <c r="E7" s="205">
        <f>E8+E9</f>
        <v>2935</v>
      </c>
      <c r="F7" s="205">
        <f>E7-D7</f>
        <v>154</v>
      </c>
      <c r="G7" s="224">
        <f>(E7/D7)*100</f>
        <v>105.53757641136281</v>
      </c>
      <c r="H7" s="176"/>
    </row>
    <row r="8" spans="1:9" s="137" customFormat="1" ht="37.799999999999997" customHeight="1">
      <c r="A8" s="165" t="s">
        <v>729</v>
      </c>
      <c r="B8" s="304"/>
      <c r="C8" s="206"/>
      <c r="D8" s="206">
        <v>2781</v>
      </c>
      <c r="E8" s="206">
        <v>2781</v>
      </c>
      <c r="F8" s="206">
        <f>E8-D8</f>
        <v>0</v>
      </c>
      <c r="G8" s="225">
        <f>(E8/D8)*100</f>
        <v>100</v>
      </c>
      <c r="H8" s="176"/>
    </row>
    <row r="9" spans="1:9" s="137" customFormat="1" ht="28.2" customHeight="1">
      <c r="A9" s="163" t="s">
        <v>771</v>
      </c>
      <c r="B9" s="304"/>
      <c r="C9" s="206"/>
      <c r="D9" s="206"/>
      <c r="E9" s="206">
        <v>154</v>
      </c>
      <c r="F9" s="206">
        <f>E9-D9</f>
        <v>154</v>
      </c>
      <c r="G9" s="225"/>
      <c r="H9" s="176"/>
    </row>
    <row r="10" spans="1:9" s="173" customFormat="1" ht="33" customHeight="1">
      <c r="A10" s="297" t="s">
        <v>527</v>
      </c>
      <c r="B10" s="124">
        <v>4020</v>
      </c>
      <c r="C10" s="341">
        <f>SUM(C12:C39)</f>
        <v>11839</v>
      </c>
      <c r="D10" s="341">
        <f>SUM(D12:D39)</f>
        <v>134851</v>
      </c>
      <c r="E10" s="341">
        <f>SUM(E11:E39)</f>
        <v>97337</v>
      </c>
      <c r="F10" s="205">
        <f t="shared" ref="F10" si="0">E10-D10</f>
        <v>-37514</v>
      </c>
      <c r="G10" s="224">
        <f>(E10/D10)*100</f>
        <v>72.181148081957119</v>
      </c>
      <c r="H10" s="268"/>
    </row>
    <row r="11" spans="1:9" s="137" customFormat="1">
      <c r="A11" s="165" t="s">
        <v>761</v>
      </c>
      <c r="B11" s="86"/>
      <c r="C11" s="342"/>
      <c r="D11" s="342"/>
      <c r="E11" s="342">
        <v>1608</v>
      </c>
      <c r="F11" s="206">
        <f>E11-D11</f>
        <v>1608</v>
      </c>
      <c r="G11" s="225"/>
      <c r="H11" s="176"/>
    </row>
    <row r="12" spans="1:9" s="173" customFormat="1">
      <c r="A12" s="165" t="s">
        <v>778</v>
      </c>
      <c r="B12" s="124"/>
      <c r="C12" s="343"/>
      <c r="D12" s="206"/>
      <c r="E12" s="206">
        <v>62</v>
      </c>
      <c r="F12" s="206">
        <f>E12-D12</f>
        <v>62</v>
      </c>
      <c r="G12" s="225"/>
      <c r="H12" s="176"/>
      <c r="I12" s="137"/>
    </row>
    <row r="13" spans="1:9" s="173" customFormat="1">
      <c r="A13" s="174" t="s">
        <v>647</v>
      </c>
      <c r="B13" s="165"/>
      <c r="C13" s="342">
        <v>372</v>
      </c>
      <c r="D13" s="206"/>
      <c r="E13" s="206"/>
      <c r="F13" s="206">
        <f>E13-D13</f>
        <v>0</v>
      </c>
      <c r="G13" s="225"/>
      <c r="H13" s="268"/>
    </row>
    <row r="14" spans="1:9" s="137" customFormat="1" ht="36">
      <c r="A14" s="163" t="s">
        <v>730</v>
      </c>
      <c r="B14" s="170"/>
      <c r="C14" s="206"/>
      <c r="D14" s="206">
        <v>117978</v>
      </c>
      <c r="E14" s="206">
        <v>18028</v>
      </c>
      <c r="F14" s="206">
        <f t="shared" ref="F14:F39" si="1">E14-D14</f>
        <v>-99950</v>
      </c>
      <c r="G14" s="225">
        <f t="shared" ref="G14:G31" si="2">(E14/D14)*100</f>
        <v>15.280815067215922</v>
      </c>
      <c r="H14" s="176"/>
    </row>
    <row r="15" spans="1:9" s="137" customFormat="1">
      <c r="A15" s="165" t="s">
        <v>777</v>
      </c>
      <c r="B15" s="124"/>
      <c r="C15" s="343"/>
      <c r="D15" s="206"/>
      <c r="E15" s="206">
        <v>40</v>
      </c>
      <c r="F15" s="206">
        <f t="shared" si="1"/>
        <v>40</v>
      </c>
      <c r="G15" s="225"/>
      <c r="H15" s="176"/>
    </row>
    <row r="16" spans="1:9" s="137" customFormat="1">
      <c r="A16" s="163" t="s">
        <v>648</v>
      </c>
      <c r="B16" s="165"/>
      <c r="C16" s="342">
        <v>1513</v>
      </c>
      <c r="D16" s="206"/>
      <c r="E16" s="206"/>
      <c r="F16" s="206">
        <f t="shared" si="1"/>
        <v>0</v>
      </c>
      <c r="G16" s="225"/>
      <c r="H16" s="268"/>
      <c r="I16" s="173"/>
    </row>
    <row r="17" spans="1:9" s="137" customFormat="1">
      <c r="A17" s="223" t="s">
        <v>762</v>
      </c>
      <c r="B17" s="165"/>
      <c r="C17" s="342"/>
      <c r="D17" s="206"/>
      <c r="E17" s="206">
        <v>29</v>
      </c>
      <c r="F17" s="206">
        <f t="shared" si="1"/>
        <v>29</v>
      </c>
      <c r="G17" s="225"/>
      <c r="H17" s="268"/>
      <c r="I17" s="173"/>
    </row>
    <row r="18" spans="1:9" s="137" customFormat="1">
      <c r="A18" s="165" t="s">
        <v>772</v>
      </c>
      <c r="B18" s="165"/>
      <c r="C18" s="342"/>
      <c r="D18" s="206"/>
      <c r="E18" s="206">
        <v>210</v>
      </c>
      <c r="F18" s="206">
        <f t="shared" si="1"/>
        <v>210</v>
      </c>
      <c r="G18" s="225"/>
      <c r="H18" s="268"/>
      <c r="I18" s="173"/>
    </row>
    <row r="19" spans="1:9" s="137" customFormat="1">
      <c r="A19" s="165" t="s">
        <v>529</v>
      </c>
      <c r="B19" s="176"/>
      <c r="C19" s="343">
        <v>57</v>
      </c>
      <c r="D19" s="344"/>
      <c r="E19" s="343"/>
      <c r="F19" s="206">
        <f t="shared" si="1"/>
        <v>0</v>
      </c>
      <c r="G19" s="225"/>
      <c r="H19" s="176"/>
    </row>
    <row r="20" spans="1:9" s="137" customFormat="1">
      <c r="A20" s="165" t="s">
        <v>763</v>
      </c>
      <c r="B20" s="176"/>
      <c r="C20" s="343"/>
      <c r="D20" s="344"/>
      <c r="E20" s="343">
        <v>66</v>
      </c>
      <c r="F20" s="206">
        <f t="shared" si="1"/>
        <v>66</v>
      </c>
      <c r="G20" s="225"/>
      <c r="H20" s="176"/>
    </row>
    <row r="21" spans="1:9" s="137" customFormat="1">
      <c r="A21" s="165" t="s">
        <v>775</v>
      </c>
      <c r="B21" s="165"/>
      <c r="C21" s="343"/>
      <c r="D21" s="206"/>
      <c r="E21" s="206">
        <v>83</v>
      </c>
      <c r="F21" s="206">
        <f t="shared" si="1"/>
        <v>83</v>
      </c>
      <c r="G21" s="225"/>
      <c r="H21" s="176"/>
    </row>
    <row r="22" spans="1:9" s="137" customFormat="1">
      <c r="A22" s="163" t="s">
        <v>764</v>
      </c>
      <c r="B22" s="176"/>
      <c r="C22" s="343"/>
      <c r="D22" s="344"/>
      <c r="E22" s="343">
        <v>25</v>
      </c>
      <c r="F22" s="206">
        <f t="shared" si="1"/>
        <v>25</v>
      </c>
      <c r="G22" s="225"/>
      <c r="H22" s="176"/>
    </row>
    <row r="23" spans="1:9" s="137" customFormat="1">
      <c r="A23" s="165" t="s">
        <v>530</v>
      </c>
      <c r="B23" s="165"/>
      <c r="C23" s="343">
        <v>26</v>
      </c>
      <c r="D23" s="206"/>
      <c r="E23" s="206">
        <v>66</v>
      </c>
      <c r="F23" s="206">
        <f t="shared" si="1"/>
        <v>66</v>
      </c>
      <c r="G23" s="225"/>
      <c r="H23" s="176"/>
    </row>
    <row r="24" spans="1:9" s="137" customFormat="1">
      <c r="A24" s="165" t="s">
        <v>532</v>
      </c>
      <c r="B24" s="86"/>
      <c r="C24" s="343">
        <v>50</v>
      </c>
      <c r="D24" s="206"/>
      <c r="E24" s="206"/>
      <c r="F24" s="206">
        <f t="shared" si="1"/>
        <v>0</v>
      </c>
      <c r="G24" s="225"/>
      <c r="H24" s="176"/>
    </row>
    <row r="25" spans="1:9" s="137" customFormat="1">
      <c r="A25" s="165" t="s">
        <v>765</v>
      </c>
      <c r="B25" s="86"/>
      <c r="C25" s="343"/>
      <c r="D25" s="206"/>
      <c r="E25" s="206">
        <v>2095</v>
      </c>
      <c r="F25" s="206">
        <f t="shared" si="1"/>
        <v>2095</v>
      </c>
      <c r="G25" s="225"/>
      <c r="H25" s="176"/>
    </row>
    <row r="26" spans="1:9" s="137" customFormat="1">
      <c r="A26" s="165" t="s">
        <v>774</v>
      </c>
      <c r="B26" s="165"/>
      <c r="C26" s="343"/>
      <c r="D26" s="206"/>
      <c r="E26" s="206">
        <v>39</v>
      </c>
      <c r="F26" s="206">
        <f t="shared" si="1"/>
        <v>39</v>
      </c>
      <c r="G26" s="225"/>
      <c r="H26" s="176"/>
    </row>
    <row r="27" spans="1:9" s="137" customFormat="1" ht="36">
      <c r="A27" s="165" t="s">
        <v>742</v>
      </c>
      <c r="B27" s="165"/>
      <c r="C27" s="343"/>
      <c r="D27" s="206">
        <v>7332</v>
      </c>
      <c r="E27" s="206"/>
      <c r="F27" s="206">
        <f t="shared" si="1"/>
        <v>-7332</v>
      </c>
      <c r="G27" s="225">
        <f t="shared" si="2"/>
        <v>0</v>
      </c>
      <c r="H27" s="176">
        <v>34336</v>
      </c>
    </row>
    <row r="28" spans="1:9" s="137" customFormat="1">
      <c r="A28" s="160" t="s">
        <v>731</v>
      </c>
      <c r="B28" s="165"/>
      <c r="C28" s="343"/>
      <c r="D28" s="206">
        <v>4590</v>
      </c>
      <c r="E28" s="206">
        <v>4590</v>
      </c>
      <c r="F28" s="206">
        <f t="shared" si="1"/>
        <v>0</v>
      </c>
      <c r="G28" s="225">
        <f t="shared" si="2"/>
        <v>100</v>
      </c>
      <c r="H28" s="176"/>
    </row>
    <row r="29" spans="1:9" s="137" customFormat="1" ht="36">
      <c r="A29" s="165" t="s">
        <v>732</v>
      </c>
      <c r="B29" s="165"/>
      <c r="C29" s="343"/>
      <c r="D29" s="206">
        <v>2064</v>
      </c>
      <c r="E29" s="206">
        <v>68471</v>
      </c>
      <c r="F29" s="206">
        <f t="shared" si="1"/>
        <v>66407</v>
      </c>
      <c r="G29" s="225">
        <f t="shared" si="2"/>
        <v>3317.3934108527137</v>
      </c>
      <c r="H29" s="176"/>
    </row>
    <row r="30" spans="1:9" s="137" customFormat="1" ht="36">
      <c r="A30" s="165" t="s">
        <v>733</v>
      </c>
      <c r="B30" s="165"/>
      <c r="C30" s="343"/>
      <c r="D30" s="206">
        <v>1300</v>
      </c>
      <c r="E30" s="206">
        <v>1300</v>
      </c>
      <c r="F30" s="206">
        <f t="shared" si="1"/>
        <v>0</v>
      </c>
      <c r="G30" s="225">
        <f t="shared" si="2"/>
        <v>100</v>
      </c>
      <c r="H30" s="176"/>
    </row>
    <row r="31" spans="1:9" s="137" customFormat="1" ht="36">
      <c r="A31" s="165" t="s">
        <v>743</v>
      </c>
      <c r="B31" s="165"/>
      <c r="C31" s="343"/>
      <c r="D31" s="206">
        <v>1587</v>
      </c>
      <c r="E31" s="206"/>
      <c r="F31" s="206">
        <f t="shared" si="1"/>
        <v>-1587</v>
      </c>
      <c r="G31" s="225">
        <f t="shared" si="2"/>
        <v>0</v>
      </c>
      <c r="H31" s="176"/>
    </row>
    <row r="32" spans="1:9" s="137" customFormat="1">
      <c r="A32" s="165" t="s">
        <v>533</v>
      </c>
      <c r="B32" s="165"/>
      <c r="C32" s="343">
        <v>26</v>
      </c>
      <c r="D32" s="206"/>
      <c r="E32" s="206">
        <v>27</v>
      </c>
      <c r="F32" s="206">
        <f t="shared" si="1"/>
        <v>27</v>
      </c>
      <c r="G32" s="225"/>
      <c r="H32" s="176"/>
    </row>
    <row r="33" spans="1:8" s="137" customFormat="1">
      <c r="A33" s="278" t="s">
        <v>773</v>
      </c>
      <c r="B33" s="165"/>
      <c r="C33" s="343"/>
      <c r="D33" s="206"/>
      <c r="E33" s="206">
        <v>28</v>
      </c>
      <c r="F33" s="206">
        <f t="shared" si="1"/>
        <v>28</v>
      </c>
      <c r="G33" s="225"/>
      <c r="H33" s="176"/>
    </row>
    <row r="34" spans="1:8" s="137" customFormat="1">
      <c r="A34" s="165" t="s">
        <v>767</v>
      </c>
      <c r="B34" s="124"/>
      <c r="C34" s="343"/>
      <c r="D34" s="206"/>
      <c r="E34" s="206">
        <v>322</v>
      </c>
      <c r="F34" s="206">
        <f t="shared" si="1"/>
        <v>322</v>
      </c>
      <c r="G34" s="225"/>
      <c r="H34" s="176"/>
    </row>
    <row r="35" spans="1:8" s="137" customFormat="1">
      <c r="A35" s="165" t="s">
        <v>652</v>
      </c>
      <c r="B35" s="124"/>
      <c r="C35" s="343">
        <v>68</v>
      </c>
      <c r="D35" s="206"/>
      <c r="E35" s="206"/>
      <c r="F35" s="206">
        <f t="shared" si="1"/>
        <v>0</v>
      </c>
      <c r="G35" s="225"/>
      <c r="H35" s="176"/>
    </row>
    <row r="36" spans="1:8" s="137" customFormat="1">
      <c r="A36" s="165" t="s">
        <v>776</v>
      </c>
      <c r="B36" s="124"/>
      <c r="C36" s="343"/>
      <c r="D36" s="206"/>
      <c r="E36" s="206">
        <v>26</v>
      </c>
      <c r="F36" s="206">
        <f t="shared" si="1"/>
        <v>26</v>
      </c>
      <c r="G36" s="225"/>
      <c r="H36" s="176"/>
    </row>
    <row r="37" spans="1:8" s="137" customFormat="1">
      <c r="A37" s="163" t="s">
        <v>766</v>
      </c>
      <c r="B37" s="124"/>
      <c r="C37" s="343"/>
      <c r="D37" s="206"/>
      <c r="E37" s="206">
        <v>222</v>
      </c>
      <c r="F37" s="206">
        <f t="shared" si="1"/>
        <v>222</v>
      </c>
      <c r="G37" s="225"/>
      <c r="H37" s="176"/>
    </row>
    <row r="38" spans="1:8" s="137" customFormat="1">
      <c r="A38" s="223" t="s">
        <v>534</v>
      </c>
      <c r="B38" s="175"/>
      <c r="C38" s="343">
        <v>99</v>
      </c>
      <c r="D38" s="206"/>
      <c r="E38" s="206"/>
      <c r="F38" s="206">
        <f t="shared" si="1"/>
        <v>0</v>
      </c>
      <c r="G38" s="225"/>
      <c r="H38" s="176"/>
    </row>
    <row r="39" spans="1:8" s="137" customFormat="1">
      <c r="A39" s="165" t="s">
        <v>535</v>
      </c>
      <c r="B39" s="165"/>
      <c r="C39" s="343">
        <v>9628</v>
      </c>
      <c r="D39" s="206"/>
      <c r="E39" s="206"/>
      <c r="F39" s="206">
        <f t="shared" si="1"/>
        <v>0</v>
      </c>
      <c r="G39" s="225"/>
      <c r="H39" s="176"/>
    </row>
    <row r="40" spans="1:8" s="137" customFormat="1" ht="52.2">
      <c r="A40" s="297" t="s">
        <v>536</v>
      </c>
      <c r="B40" s="124">
        <v>4050</v>
      </c>
      <c r="C40" s="345">
        <f>SUM(C41:C45)</f>
        <v>10118</v>
      </c>
      <c r="D40" s="345">
        <f>SUM(D41:D45)</f>
        <v>6820</v>
      </c>
      <c r="E40" s="345">
        <f>SUM(E41:E45)</f>
        <v>14418</v>
      </c>
      <c r="F40" s="206">
        <f t="shared" ref="F40:F47" si="3">E40-D40</f>
        <v>7598</v>
      </c>
      <c r="G40" s="225">
        <f t="shared" ref="G40:G47" si="4">(E40/D40)*100</f>
        <v>211.40762463343111</v>
      </c>
      <c r="H40" s="176"/>
    </row>
    <row r="41" spans="1:8" s="173" customFormat="1" ht="24.6" customHeight="1">
      <c r="A41" s="271" t="s">
        <v>528</v>
      </c>
      <c r="B41" s="86"/>
      <c r="C41" s="343">
        <v>295</v>
      </c>
      <c r="D41" s="206"/>
      <c r="E41" s="206"/>
      <c r="F41" s="206">
        <f>E41-D41</f>
        <v>0</v>
      </c>
      <c r="G41" s="225"/>
      <c r="H41" s="176"/>
    </row>
    <row r="42" spans="1:8" s="173" customFormat="1" ht="27.6" customHeight="1">
      <c r="A42" s="163" t="s">
        <v>626</v>
      </c>
      <c r="B42" s="86"/>
      <c r="C42" s="343"/>
      <c r="D42" s="206"/>
      <c r="E42" s="206">
        <v>14298</v>
      </c>
      <c r="F42" s="206">
        <f>E42-D42</f>
        <v>14298</v>
      </c>
      <c r="G42" s="225"/>
      <c r="H42" s="176"/>
    </row>
    <row r="43" spans="1:8" s="173" customFormat="1" ht="36.6" customHeight="1">
      <c r="A43" s="163" t="s">
        <v>537</v>
      </c>
      <c r="B43" s="86"/>
      <c r="C43" s="343">
        <v>9056</v>
      </c>
      <c r="D43" s="206"/>
      <c r="E43" s="206"/>
      <c r="F43" s="206">
        <f t="shared" ref="F43:F45" si="5">E43-D43</f>
        <v>0</v>
      </c>
      <c r="G43" s="225"/>
      <c r="H43" s="176">
        <v>77279</v>
      </c>
    </row>
    <row r="44" spans="1:8" s="173" customFormat="1" ht="37.200000000000003" customHeight="1">
      <c r="A44" s="163" t="s">
        <v>531</v>
      </c>
      <c r="B44" s="86"/>
      <c r="C44" s="343">
        <v>767</v>
      </c>
      <c r="D44" s="206"/>
      <c r="E44" s="206">
        <v>120</v>
      </c>
      <c r="F44" s="206">
        <f t="shared" si="5"/>
        <v>120</v>
      </c>
      <c r="G44" s="225"/>
      <c r="H44" s="176">
        <v>2000</v>
      </c>
    </row>
    <row r="45" spans="1:8" s="173" customFormat="1" ht="37.200000000000003" customHeight="1">
      <c r="A45" s="163" t="s">
        <v>744</v>
      </c>
      <c r="B45" s="86"/>
      <c r="C45" s="343"/>
      <c r="D45" s="206">
        <v>6820</v>
      </c>
      <c r="E45" s="206"/>
      <c r="F45" s="206">
        <f t="shared" si="5"/>
        <v>-6820</v>
      </c>
      <c r="G45" s="225">
        <f t="shared" ref="G45" si="6">(E45/D45)*100</f>
        <v>0</v>
      </c>
      <c r="H45" s="176"/>
    </row>
    <row r="46" spans="1:8" s="137" customFormat="1" ht="34.799999999999997">
      <c r="A46" s="297" t="s">
        <v>391</v>
      </c>
      <c r="B46" s="124">
        <v>4040</v>
      </c>
      <c r="C46" s="345">
        <f>C47</f>
        <v>5</v>
      </c>
      <c r="D46" s="345">
        <f t="shared" ref="D46:E46" si="7">D47</f>
        <v>10</v>
      </c>
      <c r="E46" s="345">
        <f t="shared" si="7"/>
        <v>15</v>
      </c>
      <c r="F46" s="205">
        <f t="shared" si="3"/>
        <v>5</v>
      </c>
      <c r="G46" s="224">
        <f t="shared" si="4"/>
        <v>150</v>
      </c>
      <c r="H46" s="176"/>
    </row>
    <row r="47" spans="1:8" s="137" customFormat="1" ht="22.95" customHeight="1">
      <c r="A47" s="163" t="s">
        <v>538</v>
      </c>
      <c r="B47" s="86"/>
      <c r="C47" s="343">
        <v>5</v>
      </c>
      <c r="D47" s="206">
        <v>10</v>
      </c>
      <c r="E47" s="206">
        <v>15</v>
      </c>
      <c r="F47" s="206">
        <f t="shared" si="3"/>
        <v>5</v>
      </c>
      <c r="G47" s="225">
        <f t="shared" si="4"/>
        <v>150</v>
      </c>
      <c r="H47" s="176"/>
    </row>
    <row r="48" spans="1:8" s="137" customFormat="1">
      <c r="A48" s="297" t="s">
        <v>424</v>
      </c>
      <c r="B48" s="124">
        <v>4060</v>
      </c>
      <c r="C48" s="345">
        <f>SUM(C49:C51)</f>
        <v>0</v>
      </c>
      <c r="D48" s="345">
        <f>SUM(D49:D54)</f>
        <v>48656</v>
      </c>
      <c r="E48" s="345">
        <f>SUM(E49:E51)</f>
        <v>0</v>
      </c>
      <c r="F48" s="205">
        <f t="shared" ref="F48" si="8">E48-D48</f>
        <v>-48656</v>
      </c>
      <c r="G48" s="224">
        <f t="shared" ref="G48" si="9">(E48/D48)*100</f>
        <v>0</v>
      </c>
      <c r="H48" s="176"/>
    </row>
    <row r="49" spans="1:9" s="137" customFormat="1" ht="36">
      <c r="A49" s="163" t="s">
        <v>735</v>
      </c>
      <c r="B49" s="86"/>
      <c r="C49" s="343"/>
      <c r="D49" s="206">
        <v>7605</v>
      </c>
      <c r="E49" s="206"/>
      <c r="F49" s="206">
        <f t="shared" ref="F49" si="10">E49-D49</f>
        <v>-7605</v>
      </c>
      <c r="G49" s="225">
        <f>(E49/D49)*100</f>
        <v>0</v>
      </c>
      <c r="H49" s="176"/>
    </row>
    <row r="50" spans="1:9" s="137" customFormat="1">
      <c r="A50" s="163" t="s">
        <v>736</v>
      </c>
      <c r="B50" s="86"/>
      <c r="C50" s="343"/>
      <c r="D50" s="206">
        <v>17954</v>
      </c>
      <c r="E50" s="206"/>
      <c r="F50" s="206">
        <f t="shared" ref="F50:F54" si="11">E50-D50</f>
        <v>-17954</v>
      </c>
      <c r="G50" s="225">
        <f t="shared" ref="G50:G54" si="12">(E50/D50)*100</f>
        <v>0</v>
      </c>
      <c r="H50" s="176"/>
    </row>
    <row r="51" spans="1:9" s="137" customFormat="1">
      <c r="A51" s="163" t="s">
        <v>737</v>
      </c>
      <c r="B51" s="86"/>
      <c r="C51" s="343"/>
      <c r="D51" s="206">
        <v>7489</v>
      </c>
      <c r="E51" s="206"/>
      <c r="F51" s="206">
        <f t="shared" si="11"/>
        <v>-7489</v>
      </c>
      <c r="G51" s="225">
        <f t="shared" si="12"/>
        <v>0</v>
      </c>
      <c r="H51" s="176"/>
    </row>
    <row r="52" spans="1:9" s="137" customFormat="1" ht="54">
      <c r="A52" s="163" t="s">
        <v>738</v>
      </c>
      <c r="B52" s="86"/>
      <c r="C52" s="343"/>
      <c r="D52" s="206">
        <v>14148</v>
      </c>
      <c r="E52" s="206"/>
      <c r="F52" s="206">
        <f t="shared" si="11"/>
        <v>-14148</v>
      </c>
      <c r="G52" s="225">
        <f>(E52/D52)*100</f>
        <v>0</v>
      </c>
      <c r="H52" s="176"/>
    </row>
    <row r="53" spans="1:9" s="137" customFormat="1" ht="36">
      <c r="A53" s="163" t="s">
        <v>746</v>
      </c>
      <c r="B53" s="86"/>
      <c r="C53" s="343"/>
      <c r="D53" s="206">
        <v>926</v>
      </c>
      <c r="E53" s="206"/>
      <c r="F53" s="206">
        <f t="shared" si="11"/>
        <v>-926</v>
      </c>
      <c r="G53" s="225">
        <f t="shared" si="12"/>
        <v>0</v>
      </c>
      <c r="H53" s="176"/>
    </row>
    <row r="54" spans="1:9" s="137" customFormat="1">
      <c r="A54" s="163" t="s">
        <v>739</v>
      </c>
      <c r="B54" s="86"/>
      <c r="C54" s="343"/>
      <c r="D54" s="206">
        <v>534</v>
      </c>
      <c r="E54" s="206"/>
      <c r="F54" s="206">
        <f t="shared" si="11"/>
        <v>-534</v>
      </c>
      <c r="G54" s="225">
        <f t="shared" si="12"/>
        <v>0</v>
      </c>
      <c r="H54" s="176"/>
    </row>
    <row r="55" spans="1:9" s="137" customFormat="1" ht="31.8" customHeight="1">
      <c r="A55" s="305"/>
      <c r="B55" s="305"/>
      <c r="C55" s="245"/>
      <c r="D55" s="240"/>
      <c r="E55" s="296"/>
      <c r="F55" s="178"/>
      <c r="G55" s="178"/>
    </row>
    <row r="56" spans="1:9" s="137" customFormat="1">
      <c r="A56" s="1"/>
      <c r="B56" s="306"/>
      <c r="C56" s="245"/>
      <c r="D56" s="240"/>
      <c r="E56" s="296"/>
      <c r="F56" s="178"/>
      <c r="G56" s="178"/>
    </row>
    <row r="57" spans="1:9" s="52" customFormat="1" ht="27.6" customHeight="1">
      <c r="A57" s="405" t="s">
        <v>523</v>
      </c>
      <c r="B57" s="405"/>
      <c r="C57" s="462" t="s">
        <v>420</v>
      </c>
      <c r="D57" s="462"/>
      <c r="E57" s="462"/>
      <c r="F57" s="460" t="s">
        <v>524</v>
      </c>
      <c r="G57" s="460"/>
      <c r="H57" s="309"/>
      <c r="I57" s="299"/>
    </row>
    <row r="58" spans="1:9" s="137" customFormat="1">
      <c r="A58" s="105"/>
      <c r="B58" s="306"/>
      <c r="C58" s="245"/>
      <c r="D58" s="241"/>
      <c r="E58" s="136"/>
      <c r="F58" s="136"/>
      <c r="G58" s="136"/>
    </row>
    <row r="59" spans="1:9">
      <c r="A59" s="105"/>
    </row>
    <row r="60" spans="1:9">
      <c r="A60" s="105"/>
    </row>
    <row r="61" spans="1:9">
      <c r="A61" s="105"/>
    </row>
    <row r="62" spans="1:9">
      <c r="A62" s="105"/>
    </row>
    <row r="63" spans="1:9">
      <c r="A63" s="105"/>
    </row>
    <row r="64" spans="1:9">
      <c r="A64" s="105"/>
    </row>
    <row r="65" spans="1:1">
      <c r="A65" s="105"/>
    </row>
    <row r="66" spans="1:1">
      <c r="A66" s="105"/>
    </row>
    <row r="67" spans="1:1">
      <c r="A67" s="105"/>
    </row>
    <row r="68" spans="1:1">
      <c r="A68" s="105"/>
    </row>
    <row r="69" spans="1:1">
      <c r="A69" s="105"/>
    </row>
    <row r="70" spans="1:1">
      <c r="A70" s="105"/>
    </row>
    <row r="71" spans="1:1">
      <c r="A71" s="105"/>
    </row>
    <row r="72" spans="1:1">
      <c r="A72" s="105"/>
    </row>
    <row r="73" spans="1:1">
      <c r="A73" s="105"/>
    </row>
    <row r="74" spans="1:1">
      <c r="A74" s="105"/>
    </row>
    <row r="75" spans="1:1">
      <c r="A75" s="105"/>
    </row>
    <row r="76" spans="1:1">
      <c r="A76" s="105"/>
    </row>
    <row r="77" spans="1:1">
      <c r="A77" s="105"/>
    </row>
    <row r="78" spans="1:1">
      <c r="A78" s="105"/>
    </row>
    <row r="79" spans="1:1">
      <c r="A79" s="105"/>
    </row>
    <row r="80" spans="1:1">
      <c r="A80" s="105"/>
    </row>
    <row r="81" spans="1:1">
      <c r="A81" s="105"/>
    </row>
    <row r="82" spans="1:1">
      <c r="A82" s="105"/>
    </row>
    <row r="83" spans="1:1">
      <c r="A83" s="105"/>
    </row>
    <row r="84" spans="1:1">
      <c r="A84" s="105"/>
    </row>
    <row r="85" spans="1:1">
      <c r="A85" s="105"/>
    </row>
    <row r="86" spans="1:1">
      <c r="A86" s="105"/>
    </row>
    <row r="87" spans="1:1">
      <c r="A87" s="105"/>
    </row>
    <row r="88" spans="1:1">
      <c r="A88" s="105"/>
    </row>
    <row r="89" spans="1:1">
      <c r="A89" s="105"/>
    </row>
    <row r="90" spans="1:1">
      <c r="A90" s="105"/>
    </row>
    <row r="91" spans="1:1">
      <c r="A91" s="105"/>
    </row>
    <row r="92" spans="1:1">
      <c r="A92" s="105"/>
    </row>
    <row r="93" spans="1:1">
      <c r="A93" s="105"/>
    </row>
    <row r="94" spans="1:1">
      <c r="A94" s="105"/>
    </row>
    <row r="95" spans="1:1">
      <c r="A95" s="105"/>
    </row>
    <row r="96" spans="1:1">
      <c r="A96" s="105"/>
    </row>
    <row r="97" spans="1:1">
      <c r="A97" s="105"/>
    </row>
    <row r="98" spans="1:1">
      <c r="A98" s="105"/>
    </row>
    <row r="99" spans="1:1">
      <c r="A99" s="105"/>
    </row>
    <row r="100" spans="1:1">
      <c r="A100" s="105"/>
    </row>
    <row r="101" spans="1:1">
      <c r="A101" s="105"/>
    </row>
    <row r="102" spans="1:1">
      <c r="A102" s="105"/>
    </row>
    <row r="103" spans="1:1">
      <c r="A103" s="105"/>
    </row>
    <row r="104" spans="1:1">
      <c r="A104" s="105"/>
    </row>
    <row r="105" spans="1:1">
      <c r="A105" s="105"/>
    </row>
    <row r="106" spans="1:1">
      <c r="A106" s="105"/>
    </row>
    <row r="107" spans="1:1">
      <c r="A107" s="105"/>
    </row>
    <row r="108" spans="1:1">
      <c r="A108" s="105"/>
    </row>
    <row r="109" spans="1:1">
      <c r="A109" s="105"/>
    </row>
    <row r="110" spans="1:1">
      <c r="A110" s="105"/>
    </row>
    <row r="111" spans="1:1">
      <c r="A111" s="105"/>
    </row>
    <row r="112" spans="1:1">
      <c r="A112" s="105"/>
    </row>
    <row r="113" spans="1:1">
      <c r="A113" s="105"/>
    </row>
    <row r="114" spans="1:1">
      <c r="A114" s="105"/>
    </row>
    <row r="115" spans="1:1">
      <c r="A115" s="105"/>
    </row>
    <row r="116" spans="1:1">
      <c r="A116" s="105"/>
    </row>
    <row r="117" spans="1:1">
      <c r="A117" s="105"/>
    </row>
    <row r="118" spans="1:1">
      <c r="A118" s="105"/>
    </row>
    <row r="119" spans="1:1">
      <c r="A119" s="105"/>
    </row>
    <row r="120" spans="1:1">
      <c r="A120" s="105"/>
    </row>
    <row r="121" spans="1:1">
      <c r="A121" s="105"/>
    </row>
    <row r="122" spans="1:1">
      <c r="A122" s="105"/>
    </row>
    <row r="123" spans="1:1">
      <c r="A123" s="105"/>
    </row>
    <row r="124" spans="1:1">
      <c r="A124" s="105"/>
    </row>
    <row r="125" spans="1:1">
      <c r="A125" s="105"/>
    </row>
    <row r="126" spans="1:1">
      <c r="A126" s="105"/>
    </row>
    <row r="127" spans="1:1">
      <c r="A127" s="105"/>
    </row>
    <row r="128" spans="1:1">
      <c r="A128" s="105"/>
    </row>
    <row r="129" spans="1:1">
      <c r="A129" s="105"/>
    </row>
    <row r="130" spans="1:1">
      <c r="A130" s="105"/>
    </row>
    <row r="131" spans="1:1">
      <c r="A131" s="105"/>
    </row>
    <row r="132" spans="1:1">
      <c r="A132" s="105"/>
    </row>
    <row r="133" spans="1:1">
      <c r="A133" s="105"/>
    </row>
    <row r="134" spans="1:1">
      <c r="A134" s="105"/>
    </row>
    <row r="135" spans="1:1">
      <c r="A135" s="105"/>
    </row>
    <row r="136" spans="1:1">
      <c r="A136" s="105"/>
    </row>
    <row r="137" spans="1:1">
      <c r="A137" s="105"/>
    </row>
    <row r="138" spans="1:1">
      <c r="A138" s="105"/>
    </row>
    <row r="139" spans="1:1">
      <c r="A139" s="105"/>
    </row>
    <row r="140" spans="1:1">
      <c r="A140" s="105"/>
    </row>
    <row r="141" spans="1:1">
      <c r="A141" s="105"/>
    </row>
    <row r="142" spans="1:1">
      <c r="A142" s="105"/>
    </row>
    <row r="143" spans="1:1">
      <c r="A143" s="105"/>
    </row>
    <row r="144" spans="1:1">
      <c r="A144" s="105"/>
    </row>
    <row r="145" spans="1:1">
      <c r="A145" s="105"/>
    </row>
    <row r="146" spans="1:1">
      <c r="A146" s="105"/>
    </row>
    <row r="147" spans="1:1">
      <c r="A147" s="105"/>
    </row>
    <row r="148" spans="1:1">
      <c r="A148" s="105"/>
    </row>
    <row r="149" spans="1:1">
      <c r="A149" s="105"/>
    </row>
    <row r="150" spans="1:1">
      <c r="A150" s="105"/>
    </row>
    <row r="151" spans="1:1">
      <c r="A151" s="105"/>
    </row>
    <row r="152" spans="1:1">
      <c r="A152" s="105"/>
    </row>
    <row r="153" spans="1:1">
      <c r="A153" s="105"/>
    </row>
    <row r="154" spans="1:1">
      <c r="A154" s="105"/>
    </row>
    <row r="155" spans="1:1">
      <c r="A155" s="105"/>
    </row>
    <row r="156" spans="1:1">
      <c r="A156" s="105"/>
    </row>
    <row r="157" spans="1:1">
      <c r="A157" s="105"/>
    </row>
    <row r="158" spans="1:1">
      <c r="A158" s="105"/>
    </row>
    <row r="159" spans="1:1">
      <c r="A159" s="105"/>
    </row>
    <row r="160" spans="1:1">
      <c r="A160" s="105"/>
    </row>
    <row r="161" spans="1:1">
      <c r="A161" s="105"/>
    </row>
    <row r="162" spans="1:1">
      <c r="A162" s="105"/>
    </row>
    <row r="163" spans="1:1">
      <c r="A163" s="105"/>
    </row>
    <row r="164" spans="1:1">
      <c r="A164" s="105"/>
    </row>
    <row r="165" spans="1:1">
      <c r="A165" s="105"/>
    </row>
    <row r="166" spans="1:1">
      <c r="A166" s="105"/>
    </row>
    <row r="167" spans="1:1">
      <c r="A167" s="105"/>
    </row>
    <row r="168" spans="1:1">
      <c r="A168" s="105"/>
    </row>
    <row r="169" spans="1:1">
      <c r="A169" s="105"/>
    </row>
    <row r="170" spans="1:1">
      <c r="A170" s="105"/>
    </row>
    <row r="171" spans="1:1">
      <c r="A171" s="105"/>
    </row>
    <row r="172" spans="1:1">
      <c r="A172" s="105"/>
    </row>
    <row r="173" spans="1:1">
      <c r="A173" s="105"/>
    </row>
    <row r="174" spans="1:1">
      <c r="A174" s="105"/>
    </row>
    <row r="175" spans="1:1">
      <c r="A175" s="105"/>
    </row>
    <row r="176" spans="1:1">
      <c r="A176" s="105"/>
    </row>
    <row r="177" spans="1:1">
      <c r="A177" s="105"/>
    </row>
    <row r="178" spans="1:1">
      <c r="A178" s="105"/>
    </row>
    <row r="179" spans="1:1">
      <c r="A179" s="105"/>
    </row>
    <row r="180" spans="1:1">
      <c r="A180" s="105"/>
    </row>
    <row r="181" spans="1:1">
      <c r="A181" s="105"/>
    </row>
    <row r="182" spans="1:1">
      <c r="A182" s="105"/>
    </row>
    <row r="183" spans="1:1">
      <c r="A183" s="105"/>
    </row>
    <row r="184" spans="1:1">
      <c r="A184" s="105"/>
    </row>
    <row r="185" spans="1:1">
      <c r="A185" s="105"/>
    </row>
    <row r="186" spans="1:1">
      <c r="A186" s="105"/>
    </row>
    <row r="187" spans="1:1">
      <c r="A187" s="105"/>
    </row>
    <row r="188" spans="1:1">
      <c r="A188" s="105"/>
    </row>
    <row r="189" spans="1:1">
      <c r="A189" s="105"/>
    </row>
    <row r="190" spans="1:1">
      <c r="A190" s="105"/>
    </row>
    <row r="191" spans="1:1">
      <c r="A191" s="105"/>
    </row>
    <row r="192" spans="1:1">
      <c r="A192" s="105"/>
    </row>
    <row r="193" spans="1:1">
      <c r="A193" s="105"/>
    </row>
    <row r="194" spans="1:1">
      <c r="A194" s="105"/>
    </row>
    <row r="195" spans="1:1">
      <c r="A195" s="105"/>
    </row>
    <row r="196" spans="1:1">
      <c r="A196" s="105"/>
    </row>
    <row r="197" spans="1:1">
      <c r="A197" s="105"/>
    </row>
    <row r="198" spans="1:1">
      <c r="A198" s="105"/>
    </row>
    <row r="199" spans="1:1">
      <c r="A199" s="105"/>
    </row>
    <row r="200" spans="1:1">
      <c r="A200" s="105"/>
    </row>
    <row r="201" spans="1:1">
      <c r="A201" s="105"/>
    </row>
    <row r="202" spans="1:1">
      <c r="A202" s="105"/>
    </row>
    <row r="203" spans="1:1">
      <c r="A203" s="105"/>
    </row>
    <row r="204" spans="1:1">
      <c r="A204" s="105"/>
    </row>
    <row r="205" spans="1:1">
      <c r="A205" s="105"/>
    </row>
    <row r="206" spans="1:1">
      <c r="A206" s="105"/>
    </row>
    <row r="207" spans="1:1">
      <c r="A207" s="105"/>
    </row>
    <row r="208" spans="1:1">
      <c r="A208" s="105"/>
    </row>
    <row r="209" spans="1:1">
      <c r="A209" s="105"/>
    </row>
    <row r="210" spans="1:1">
      <c r="A210" s="105"/>
    </row>
    <row r="211" spans="1:1">
      <c r="A211" s="105"/>
    </row>
    <row r="212" spans="1:1">
      <c r="A212" s="105"/>
    </row>
    <row r="213" spans="1:1">
      <c r="A213" s="105"/>
    </row>
    <row r="214" spans="1:1">
      <c r="A214" s="105"/>
    </row>
    <row r="215" spans="1:1">
      <c r="A215" s="105"/>
    </row>
    <row r="216" spans="1:1">
      <c r="A216" s="105"/>
    </row>
    <row r="217" spans="1:1">
      <c r="A217" s="105"/>
    </row>
    <row r="218" spans="1:1">
      <c r="A218" s="105"/>
    </row>
    <row r="219" spans="1:1">
      <c r="A219" s="105"/>
    </row>
  </sheetData>
  <sortState ref="A11:I39">
    <sortCondition ref="A11"/>
  </sortState>
  <mergeCells count="4">
    <mergeCell ref="A57:B57"/>
    <mergeCell ref="F57:G57"/>
    <mergeCell ref="A2:G2"/>
    <mergeCell ref="C57:E57"/>
  </mergeCells>
  <printOptions horizontalCentered="1"/>
  <pageMargins left="0.59055118110236215" right="0.59055118110236215" top="0.98425196850393704" bottom="0.59055118110236215" header="0" footer="0"/>
  <pageSetup paperSize="9" scale="76" fitToHeight="0" orientation="landscape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14</vt:i4>
      </vt:variant>
      <vt:variant>
        <vt:lpstr>Именованные диапазоны</vt:lpstr>
      </vt:variant>
      <vt:variant>
        <vt:i4>21</vt:i4>
      </vt:variant>
    </vt:vector>
  </HeadingPairs>
  <TitlesOfParts>
    <vt:vector size="35" baseType="lpstr">
      <vt:lpstr>Аналіз</vt:lpstr>
      <vt:lpstr>Осн. фін. пок.</vt:lpstr>
      <vt:lpstr>I. Фін результат</vt:lpstr>
      <vt:lpstr>Розшифровка фінрезультати</vt:lpstr>
      <vt:lpstr>ІІ. Розр. з бюджетом</vt:lpstr>
      <vt:lpstr>ІІІ. Рух грош. коштів</vt:lpstr>
      <vt:lpstr>Розшифровка до Руху</vt:lpstr>
      <vt:lpstr>IV. Кап. інвестиції</vt:lpstr>
      <vt:lpstr>Розшифровка до капівидатків</vt:lpstr>
      <vt:lpstr> V. Коефіцієнти</vt:lpstr>
      <vt:lpstr>6.1. Інша інфо_1</vt:lpstr>
      <vt:lpstr>6.2. Інша інфо_2</vt:lpstr>
      <vt:lpstr>VII Статутн. капіт</vt:lpstr>
      <vt:lpstr>Розшифровка до Статутного</vt:lpstr>
      <vt:lpstr>' V. Коефіцієнти'!Заголовки_для_печати</vt:lpstr>
      <vt:lpstr>'I. Фін результат'!Заголовки_для_печати</vt:lpstr>
      <vt:lpstr>'ІІ. Розр. з бюджетом'!Заголовки_для_печати</vt:lpstr>
      <vt:lpstr>'ІІІ. Рух грош. коштів'!Заголовки_для_печати</vt:lpstr>
      <vt:lpstr>'Осн. фін. пок.'!Заголовки_для_печати</vt:lpstr>
      <vt:lpstr>'Розшифровка до капівидатків'!Заголовки_для_печати</vt:lpstr>
      <vt:lpstr>'Розшифровка до Руху'!Заголовки_для_печати</vt:lpstr>
      <vt:lpstr>'Розшифровка фінрезультати'!Заголовки_для_печати</vt:lpstr>
      <vt:lpstr>' V. Коефіцієнти'!Область_печати</vt:lpstr>
      <vt:lpstr>'6.1. Інша інфо_1'!Область_печати</vt:lpstr>
      <vt:lpstr>'6.2. Інша інфо_2'!Область_печати</vt:lpstr>
      <vt:lpstr>'I. Фін результат'!Область_печати</vt:lpstr>
      <vt:lpstr>'IV. Кап. інвестиції'!Область_печати</vt:lpstr>
      <vt:lpstr>'VII Статутн. капіт'!Область_печати</vt:lpstr>
      <vt:lpstr>'ІІ. Розр. з бюджетом'!Область_печати</vt:lpstr>
      <vt:lpstr>'ІІІ. Рух грош. коштів'!Область_печати</vt:lpstr>
      <vt:lpstr>'Осн. фін. пок.'!Область_печати</vt:lpstr>
      <vt:lpstr>'Розшифровка до капівидатків'!Область_печати</vt:lpstr>
      <vt:lpstr>'Розшифровка до Руху'!Область_печати</vt:lpstr>
      <vt:lpstr>'Розшифровка до Статутного'!Область_печати</vt:lpstr>
      <vt:lpstr>'Розшифровка фінрезультати'!Область_печати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Мельник Олена Володимирівна</dc:creator>
  <cp:lastModifiedBy>Драчук Ира</cp:lastModifiedBy>
  <cp:lastPrinted>2025-02-10T08:31:49Z</cp:lastPrinted>
  <dcterms:created xsi:type="dcterms:W3CDTF">2003-03-13T16:00:22Z</dcterms:created>
  <dcterms:modified xsi:type="dcterms:W3CDTF">2025-02-24T09:07:34Z</dcterms:modified>
</cp:coreProperties>
</file>